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0" windowWidth="10440" windowHeight="10460" activeTab="0"/>
  </bookViews>
  <sheets>
    <sheet name="RFP Score Sheet" sheetId="1" r:id="rId1"/>
    <sheet name="RFP Price" sheetId="2" r:id="rId2"/>
    <sheet name="Bid Evaluation" sheetId="3" r:id="rId3"/>
    <sheet name="Bid Tab" sheetId="4" r:id="rId4"/>
    <sheet name="RFP Score Sheet (Sample)" sheetId="5" r:id="rId5"/>
    <sheet name="RFP Price (Sample)" sheetId="6" r:id="rId6"/>
    <sheet name="Bid Evaluation (Sample)" sheetId="7" r:id="rId7"/>
    <sheet name="Bid Tab (Sample)" sheetId="8" r:id="rId8"/>
  </sheets>
  <definedNames>
    <definedName name="AVG_Score" localSheetId="2">'Bid Evaluation'!#REF!</definedName>
    <definedName name="AVG_Score" localSheetId="6">'Bid Evaluation (Sample)'!#REF!</definedName>
    <definedName name="AVG_Score" localSheetId="4">'RFP Score Sheet (Sample)'!$C$72:$J$72</definedName>
    <definedName name="AVG_Score">'RFP Score Sheet'!$C$76:$P$76</definedName>
    <definedName name="AVG_Score2" localSheetId="2">'Bid Evaluation'!#REF!</definedName>
    <definedName name="AVG_Score2" localSheetId="6">'Bid Evaluation (Sample)'!#REF!</definedName>
    <definedName name="AVG_Score2" localSheetId="4">'RFP Score Sheet (Sample)'!$C$120:$J$120</definedName>
    <definedName name="AVG_Score2">'RFP Score Sheet'!$C$202:$P$202</definedName>
    <definedName name="AVG_Score3" localSheetId="2">'Bid Evaluation'!#REF!</definedName>
    <definedName name="AVG_Score3" localSheetId="6">'Bid Evaluation (Sample)'!#REF!</definedName>
    <definedName name="AVG_Score3" localSheetId="4">'RFP Score Sheet (Sample)'!$C$126:$J$126</definedName>
    <definedName name="AVG_Score3">'RFP Score Sheet'!$C$208:$P$208</definedName>
    <definedName name="Final_Score" localSheetId="2">'Bid Evaluation'!#REF!</definedName>
    <definedName name="Final_Score" localSheetId="6">'Bid Evaluation (Sample)'!#REF!</definedName>
    <definedName name="Final_Score" localSheetId="4">'RFP Score Sheet (Sample)'!$C$134:$J$134</definedName>
    <definedName name="Final_Score">'RFP Score Sheet'!$C$216:$P$216</definedName>
    <definedName name="Final_Score1" localSheetId="2">'Bid Evaluation'!#REF!</definedName>
    <definedName name="Final_Score1" localSheetId="6">'Bid Evaluation (Sample)'!#REF!</definedName>
    <definedName name="Final_Score1" localSheetId="4">'RFP Score Sheet (Sample)'!$C$135:$J$135</definedName>
    <definedName name="Final_Score1">'RFP Score Sheet'!$C$217:$P$217</definedName>
    <definedName name="Final_Score2" localSheetId="2">'Bid Evaluation'!#REF!</definedName>
    <definedName name="Final_Score2" localSheetId="6">'Bid Evaluation (Sample)'!#REF!</definedName>
    <definedName name="Final_Score2" localSheetId="4">'RFP Score Sheet (Sample)'!$C$138:$J$138</definedName>
    <definedName name="Final_Score2">'RFP Score Sheet'!$C$220:$P$220</definedName>
    <definedName name="Final_Score3" localSheetId="2">'Bid Evaluation'!#REF!</definedName>
    <definedName name="Final_Score3" localSheetId="6">'Bid Evaluation (Sample)'!#REF!</definedName>
    <definedName name="Final_Score3" localSheetId="4">'RFP Score Sheet (Sample)'!$C$142:$J$142</definedName>
    <definedName name="Final_Score3">'RFP Score Sheet'!$C$224:$P$224</definedName>
    <definedName name="Final_Score4" localSheetId="2">'Bid Evaluation'!#REF!</definedName>
    <definedName name="Final_Score4" localSheetId="6">'Bid Evaluation (Sample)'!#REF!</definedName>
    <definedName name="Final_Score4" localSheetId="4">'RFP Score Sheet (Sample)'!$C$146:$J$146</definedName>
    <definedName name="Final_Score4">'RFP Score Sheet'!$C$228:$P$228</definedName>
    <definedName name="Final_Score5" localSheetId="2">'Bid Evaluation'!#REF!</definedName>
    <definedName name="Final_Score5" localSheetId="6">'Bid Evaluation (Sample)'!#REF!</definedName>
    <definedName name="Final_Score5" localSheetId="4">'RFP Score Sheet (Sample)'!$C$150:$J$150</definedName>
    <definedName name="Final_Score5">'RFP Score Sheet'!$C$232:$P$232</definedName>
    <definedName name="Interview_Points" localSheetId="2">'Bid Evaluation'!$G$3</definedName>
    <definedName name="Interview_Points" localSheetId="6">'Bid Evaluation (Sample)'!$G$3</definedName>
    <definedName name="Interview_Points" localSheetId="4">'RFP Score Sheet (Sample)'!$G$3</definedName>
    <definedName name="Interview_Points">'RFP Score Sheet'!$G$3</definedName>
    <definedName name="Interview_rank" localSheetId="2">'Bid Evaluation'!#REF!</definedName>
    <definedName name="Interview_rank" localSheetId="6">'Bid Evaluation (Sample)'!#REF!</definedName>
    <definedName name="Interview_rank" localSheetId="4">'RFP Score Sheet (Sample)'!$C$113:$J$113</definedName>
    <definedName name="Interview_rank">'RFP Score Sheet'!$C$195:$P$195</definedName>
    <definedName name="Joint_Percent" localSheetId="2">'Bid Evaluation'!$C$8</definedName>
    <definedName name="Joint_Percent" localSheetId="6">'Bid Evaluation (Sample)'!$C$8</definedName>
    <definedName name="Joint_Percent" localSheetId="4">'RFP Score Sheet (Sample)'!$C$8</definedName>
    <definedName name="Joint_Percent">'RFP Score Sheet'!$C$8</definedName>
    <definedName name="Joint_percent_non_res" localSheetId="2">'Bid Evaluation'!$C$12:$AA$12</definedName>
    <definedName name="Joint_percent_non_res" localSheetId="6">'Bid Evaluation (Sample)'!$C$12:$H$12</definedName>
    <definedName name="Joint_percent_non_res" localSheetId="4">'RFP Score Sheet (Sample)'!$C$12:$J$12</definedName>
    <definedName name="Joint_percent_non_res">'RFP Score Sheet'!$C$12:$P$12</definedName>
    <definedName name="Joint_percent_res" localSheetId="2">'Bid Evaluation'!$C$8:$AA$8</definedName>
    <definedName name="Joint_percent_res" localSheetId="6">'Bid Evaluation (Sample)'!$C$8:$H$8</definedName>
    <definedName name="Joint_percent_res" localSheetId="4">'RFP Score Sheet (Sample)'!$C$8:$J$8</definedName>
    <definedName name="Joint_percent_res">'RFP Score Sheet'!$C$8:$P$8</definedName>
    <definedName name="Joint_percent_vet1" localSheetId="2">'Bid Evaluation'!$C$9:$AA$9</definedName>
    <definedName name="Joint_percent_vet1" localSheetId="6">'Bid Evaluation (Sample)'!$C$9:$H$9</definedName>
    <definedName name="Joint_percent_vet1" localSheetId="4">'RFP Score Sheet (Sample)'!$C$9:$J$9</definedName>
    <definedName name="Joint_percent_vet1">'RFP Score Sheet'!$C$9:$P$9</definedName>
    <definedName name="Joint_percent_vet2" localSheetId="2">'Bid Evaluation'!$C$10:$AA$10</definedName>
    <definedName name="Joint_percent_vet2" localSheetId="6">'Bid Evaluation (Sample)'!$C$10:$H$10</definedName>
    <definedName name="Joint_percent_vet2" localSheetId="4">'RFP Score Sheet (Sample)'!$C$10:$J$10</definedName>
    <definedName name="Joint_percent_vet2">'RFP Score Sheet'!$C$10:$P$10</definedName>
    <definedName name="Joint_percent_vet3" localSheetId="2">'Bid Evaluation'!$C$11:$AA$11</definedName>
    <definedName name="Joint_percent_vet3" localSheetId="6">'Bid Evaluation (Sample)'!$C$11:$H$11</definedName>
    <definedName name="Joint_percent_vet3" localSheetId="4">'RFP Score Sheet (Sample)'!$C$11:$J$11</definedName>
    <definedName name="Joint_percent_vet3">'RFP Score Sheet'!$C$11:$P$11</definedName>
    <definedName name="JointA" localSheetId="2">'Bid Evaluation'!$C$8</definedName>
    <definedName name="JointA" localSheetId="6">'Bid Evaluation (Sample)'!$C$8</definedName>
    <definedName name="JointA" localSheetId="4">'RFP Score Sheet (Sample)'!$C$8</definedName>
    <definedName name="JointA">'RFP Score Sheet'!$C$8</definedName>
    <definedName name="Overall_Rank" localSheetId="2">'Bid Evaluation'!#REF!</definedName>
    <definedName name="Overall_Rank" localSheetId="6">'Bid Evaluation (Sample)'!#REF!</definedName>
    <definedName name="Overall_Rank" localSheetId="4">'RFP Score Sheet (Sample)'!$C$160:$J$160</definedName>
    <definedName name="Overall_Rank">'RFP Score Sheet'!$C$242:$P$242</definedName>
    <definedName name="Preference" localSheetId="2">'Bid Evaluation'!$C$7:$AA$7</definedName>
    <definedName name="Preference" localSheetId="6">'Bid Evaluation (Sample)'!$C$7:$H$7</definedName>
    <definedName name="Preference" localSheetId="4">'RFP Score Sheet (Sample)'!$C$7:$J$7</definedName>
    <definedName name="Preference">'RFP Score Sheet'!$C$7:$P$7</definedName>
    <definedName name="Preference_Factor1" localSheetId="2">'Bid Evaluation'!$C$13:$AA$13</definedName>
    <definedName name="Preference_Factor1" localSheetId="6">'Bid Evaluation (Sample)'!$C$13:$H$13</definedName>
    <definedName name="Preference_Factor1" localSheetId="4">'RFP Score Sheet (Sample)'!$C$13:$J$13</definedName>
    <definedName name="Preference_Factor1">'RFP Score Sheet'!$C$13:$P$13</definedName>
    <definedName name="Preference_Factor2" localSheetId="2">'Bid Evaluation'!#REF!</definedName>
    <definedName name="Preference_Factor2" localSheetId="6">'Bid Evaluation (Sample)'!#REF!</definedName>
    <definedName name="Preference_Factor2" localSheetId="4">'RFP Score Sheet (Sample)'!$C$14:$J$14</definedName>
    <definedName name="Preference_Factor2">'RFP Score Sheet'!$C$14:$P$14</definedName>
    <definedName name="Price" localSheetId="3">'Bid Tab'!$B$13</definedName>
    <definedName name="Price" localSheetId="7">'Bid Tab (Sample)'!$B$13</definedName>
    <definedName name="Price" localSheetId="5">'RFP Price (Sample)'!$B$13</definedName>
    <definedName name="Price">'RFP Price'!$B$13</definedName>
    <definedName name="Price_Points" localSheetId="2">'Bid Evaluation'!$E$3</definedName>
    <definedName name="Price_Points" localSheetId="6">'Bid Evaluation (Sample)'!$E$3</definedName>
    <definedName name="Price_Points" localSheetId="4">'RFP Score Sheet (Sample)'!$E$3</definedName>
    <definedName name="Price_Points">'RFP Score Sheet'!$E$3</definedName>
    <definedName name="_xlnm.Print_Area" localSheetId="2">'Bid Evaluation'!$A$1:$AA$17</definedName>
    <definedName name="_xlnm.Print_Area" localSheetId="6">'Bid Evaluation (Sample)'!$A$1:$H$17</definedName>
    <definedName name="_xlnm.Print_Area" localSheetId="0">'RFP Score Sheet'!$A$1:$P$244</definedName>
    <definedName name="_xlnm.Print_Area" localSheetId="4">'RFP Score Sheet (Sample)'!$A$1:$J$162</definedName>
    <definedName name="Rank1" localSheetId="2">'Bid Evaluation'!#REF!</definedName>
    <definedName name="Rank1" localSheetId="6">'Bid Evaluation (Sample)'!#REF!</definedName>
    <definedName name="Rank1" localSheetId="4">'RFP Score Sheet (Sample)'!$C$135:$J$135</definedName>
    <definedName name="Rank1">'RFP Score Sheet'!$C$217:$P$217</definedName>
    <definedName name="Rater_1" localSheetId="2">'Bid Evaluation'!#REF!</definedName>
    <definedName name="Rater_1" localSheetId="6">'Bid Evaluation (Sample)'!#REF!</definedName>
    <definedName name="Rater_1" localSheetId="4">'RFP Score Sheet (Sample)'!$B$16</definedName>
    <definedName name="Rater_1">'RFP Score Sheet'!$B$16</definedName>
    <definedName name="Rater_1B" localSheetId="2">'Bid Evaluation'!#REF!</definedName>
    <definedName name="Rater_1B" localSheetId="6">'Bid Evaluation (Sample)'!#REF!</definedName>
    <definedName name="Rater_1B" localSheetId="4">'RFP Score Sheet (Sample)'!$B$78</definedName>
    <definedName name="Rater_1B">'RFP Score Sheet'!$B$123</definedName>
    <definedName name="Rater_2" localSheetId="2">'Bid Evaluation'!#REF!</definedName>
    <definedName name="Rater_2" localSheetId="6">'Bid Evaluation (Sample)'!#REF!</definedName>
    <definedName name="Rater_2" localSheetId="4">'RFP Score Sheet (Sample)'!$B$23</definedName>
    <definedName name="Rater_2">'RFP Score Sheet'!$B$23</definedName>
    <definedName name="Rater_2B" localSheetId="2">'Bid Evaluation'!#REF!</definedName>
    <definedName name="Rater_2B" localSheetId="6">'Bid Evaluation (Sample)'!#REF!</definedName>
    <definedName name="Rater_2B" localSheetId="4">'RFP Score Sheet (Sample)'!$B$83</definedName>
    <definedName name="Rater_2B">'RFP Score Sheet'!$B$128</definedName>
    <definedName name="Rater_3" localSheetId="2">'Bid Evaluation'!#REF!</definedName>
    <definedName name="Rater_3" localSheetId="6">'Bid Evaluation (Sample)'!#REF!</definedName>
    <definedName name="Rater_3" localSheetId="4">'RFP Score Sheet (Sample)'!$B$30</definedName>
    <definedName name="Rater_3">'RFP Score Sheet'!$B$30</definedName>
    <definedName name="Rater_3B" localSheetId="2">'Bid Evaluation'!#REF!</definedName>
    <definedName name="Rater_3B" localSheetId="6">'Bid Evaluation (Sample)'!#REF!</definedName>
    <definedName name="Rater_3B" localSheetId="4">'RFP Score Sheet (Sample)'!$B$88</definedName>
    <definedName name="Rater_3B">'RFP Score Sheet'!$B$133</definedName>
    <definedName name="Rater_4" localSheetId="2">'Bid Evaluation'!#REF!</definedName>
    <definedName name="Rater_4" localSheetId="6">'Bid Evaluation (Sample)'!#REF!</definedName>
    <definedName name="Rater_4" localSheetId="4">'RFP Score Sheet (Sample)'!$B$37</definedName>
    <definedName name="Rater_4">'RFP Score Sheet'!$B$37</definedName>
    <definedName name="Rater_4B" localSheetId="2">'Bid Evaluation'!#REF!</definedName>
    <definedName name="Rater_4B" localSheetId="6">'Bid Evaluation (Sample)'!#REF!</definedName>
    <definedName name="Rater_4B" localSheetId="4">'RFP Score Sheet (Sample)'!$B$93</definedName>
    <definedName name="Rater_4B">'RFP Score Sheet'!$B$138</definedName>
    <definedName name="Rater_5" localSheetId="2">'Bid Evaluation'!#REF!</definedName>
    <definedName name="Rater_5" localSheetId="6">'Bid Evaluation (Sample)'!#REF!</definedName>
    <definedName name="Rater_5" localSheetId="4">'RFP Score Sheet (Sample)'!$B$44</definedName>
    <definedName name="Rater_5">'RFP Score Sheet'!$B$44</definedName>
    <definedName name="Rater_5B" localSheetId="2">'Bid Evaluation'!#REF!</definedName>
    <definedName name="Rater_5B" localSheetId="6">'Bid Evaluation (Sample)'!#REF!</definedName>
    <definedName name="Rater_5B" localSheetId="4">'RFP Score Sheet (Sample)'!$B$98</definedName>
    <definedName name="Rater_5B">'RFP Score Sheet'!$B$143</definedName>
    <definedName name="Rater1" localSheetId="2">'Bid Evaluation'!$C$16:$AA$16</definedName>
    <definedName name="Rater1" localSheetId="6">'Bid Evaluation (Sample)'!$C$16:$H$16</definedName>
    <definedName name="Rater1" localSheetId="4">'RFP Score Sheet (Sample)'!$C$20:$J$20</definedName>
    <definedName name="Rater1">'RFP Score Sheet'!$C$20:$P$20</definedName>
    <definedName name="Rater1B" localSheetId="2">'Bid Evaluation'!#REF!</definedName>
    <definedName name="Rater1B" localSheetId="6">'Bid Evaluation (Sample)'!#REF!</definedName>
    <definedName name="Rater1B" localSheetId="4">'RFP Score Sheet (Sample)'!$C$80:$J$80</definedName>
    <definedName name="Rater1B">'RFP Score Sheet'!$C$125:$P$125</definedName>
    <definedName name="Rater2" localSheetId="2">'Bid Evaluation'!#REF!</definedName>
    <definedName name="Rater2" localSheetId="6">'Bid Evaluation (Sample)'!#REF!</definedName>
    <definedName name="Rater2" localSheetId="4">'RFP Score Sheet (Sample)'!$C$27:$J$27</definedName>
    <definedName name="Rater2">'RFP Score Sheet'!$C$27:$P$27</definedName>
    <definedName name="Rater2B" localSheetId="2">'Bid Evaluation'!#REF!</definedName>
    <definedName name="Rater2B" localSheetId="6">'Bid Evaluation (Sample)'!#REF!</definedName>
    <definedName name="Rater2B" localSheetId="4">'RFP Score Sheet (Sample)'!$C$85:$J$85</definedName>
    <definedName name="Rater2B">'RFP Score Sheet'!$C$130:$P$130</definedName>
    <definedName name="Rater3" localSheetId="2">'Bid Evaluation'!#REF!</definedName>
    <definedName name="Rater3" localSheetId="6">'Bid Evaluation (Sample)'!#REF!</definedName>
    <definedName name="Rater3" localSheetId="4">'RFP Score Sheet (Sample)'!$C$34:$J$34</definedName>
    <definedName name="Rater3">'RFP Score Sheet'!$C$34:$P$34</definedName>
    <definedName name="Rater3B" localSheetId="2">'Bid Evaluation'!#REF!</definedName>
    <definedName name="Rater3B" localSheetId="6">'Bid Evaluation (Sample)'!#REF!</definedName>
    <definedName name="Rater3B" localSheetId="4">'RFP Score Sheet (Sample)'!$C$90:$J$90</definedName>
    <definedName name="Rater3B">'RFP Score Sheet'!$C$135:$P$135</definedName>
    <definedName name="Rater4" localSheetId="2">'Bid Evaluation'!#REF!</definedName>
    <definedName name="Rater4" localSheetId="6">'Bid Evaluation (Sample)'!#REF!</definedName>
    <definedName name="Rater4" localSheetId="4">'RFP Score Sheet (Sample)'!$C$41:$J$41</definedName>
    <definedName name="Rater4">'RFP Score Sheet'!$C$41:$P$41</definedName>
    <definedName name="Rater4B" localSheetId="2">'Bid Evaluation'!#REF!</definedName>
    <definedName name="Rater4B" localSheetId="6">'Bid Evaluation (Sample)'!#REF!</definedName>
    <definedName name="Rater4B" localSheetId="4">'RFP Score Sheet (Sample)'!$C$95:$J$95</definedName>
    <definedName name="Rater4B">'RFP Score Sheet'!$C$140:$P$140</definedName>
    <definedName name="Rater5" localSheetId="2">'Bid Evaluation'!#REF!</definedName>
    <definedName name="Rater5" localSheetId="6">'Bid Evaluation (Sample)'!#REF!</definedName>
    <definedName name="Rater5" localSheetId="4">'RFP Score Sheet (Sample)'!$C$48:$J$48</definedName>
    <definedName name="Rater5">'RFP Score Sheet'!$C$48:$P$48</definedName>
    <definedName name="Rater5B" localSheetId="2">'Bid Evaluation'!#REF!</definedName>
    <definedName name="Rater5B" localSheetId="6">'Bid Evaluation (Sample)'!#REF!</definedName>
    <definedName name="Rater5B" localSheetId="4">'RFP Score Sheet (Sample)'!$C$100:$J$100</definedName>
    <definedName name="Rater5B">'RFP Score Sheet'!$C$145:$P$145</definedName>
    <definedName name="Raters" localSheetId="2">'Bid Evaluation'!#REF!</definedName>
    <definedName name="Raters" localSheetId="6">'Bid Evaluation (Sample)'!#REF!</definedName>
    <definedName name="Raters" localSheetId="4">'RFP Score Sheet (Sample)'!$B$51</definedName>
    <definedName name="Raters">'RFP Score Sheet'!$B$51</definedName>
    <definedName name="Raters_int" localSheetId="2">'Bid Evaluation'!#REF!</definedName>
    <definedName name="Raters_int" localSheetId="6">'Bid Evaluation (Sample)'!#REF!</definedName>
    <definedName name="Raters_int" localSheetId="4">'RFP Score Sheet (Sample)'!$B$103</definedName>
    <definedName name="Raters_int">'RFP Score Sheet'!$B$148</definedName>
    <definedName name="Resident_Preference" localSheetId="2">'Bid Evaluation'!$C$7:$AA$7</definedName>
    <definedName name="Resident_Preference" localSheetId="6">'Bid Evaluation (Sample)'!$C$7:$H$7</definedName>
    <definedName name="Resident_Preference" localSheetId="4">'RFP Score Sheet (Sample)'!$C$7:$J$7</definedName>
    <definedName name="Resident_Preference">'RFP Score Sheet'!$C$7:$P$7</definedName>
    <definedName name="ResidentA" localSheetId="2">'Bid Evaluation'!$C$7</definedName>
    <definedName name="ResidentA" localSheetId="6">'Bid Evaluation (Sample)'!$C$7</definedName>
    <definedName name="ResidentA" localSheetId="4">'RFP Score Sheet (Sample)'!$C$7</definedName>
    <definedName name="ResidentA">'RFP Score Sheet'!$C$7</definedName>
    <definedName name="Shortlist_rank" localSheetId="2">'Bid Evaluation'!#REF!</definedName>
    <definedName name="Shortlist_rank" localSheetId="6">'Bid Evaluation (Sample)'!#REF!</definedName>
    <definedName name="Shortlist_rank" localSheetId="4">'RFP Score Sheet (Sample)'!$C$60:$J$60</definedName>
    <definedName name="Shortlist_rank">'RFP Score Sheet'!$C$64:$P$64</definedName>
    <definedName name="Technical_Points" localSheetId="2">'Bid Evaluation'!$C$3</definedName>
    <definedName name="Technical_Points" localSheetId="6">'Bid Evaluation (Sample)'!$C$3</definedName>
    <definedName name="Technical_Points" localSheetId="4">'RFP Score Sheet (Sample)'!$C$3</definedName>
    <definedName name="Technical_Points">'RFP Score Sheet'!$C$3</definedName>
    <definedName name="Total_Price" localSheetId="3">'Bid Tab'!$B$7:$Z$7</definedName>
    <definedName name="Total_Price" localSheetId="7">'Bid Tab (Sample)'!$B$7:$G$7</definedName>
    <definedName name="Total_Price" localSheetId="5">'RFP Price (Sample)'!$B$7:$I$7</definedName>
    <definedName name="Total_Price">'RFP Price'!$B$7:$Z$7</definedName>
    <definedName name="Total_score1" localSheetId="2">'Bid Evaluation'!#REF!</definedName>
    <definedName name="Total_score1" localSheetId="6">'Bid Evaluation (Sample)'!#REF!</definedName>
    <definedName name="Total_score1" localSheetId="4">'RFP Score Sheet (Sample)'!$C$70:$J$70</definedName>
    <definedName name="Total_score1">'RFP Score Sheet'!$C$74:$P$74</definedName>
    <definedName name="Total_score2" localSheetId="2">'Bid Evaluation'!#REF!</definedName>
    <definedName name="Total_score2" localSheetId="6">'Bid Evaluation (Sample)'!#REF!</definedName>
    <definedName name="Total_score2" localSheetId="4">'RFP Score Sheet (Sample)'!$C$118:$J$118</definedName>
    <definedName name="Total_score2">'RFP Score Sheet'!$C$200:$P$200</definedName>
    <definedName name="Total_score3" localSheetId="2">'Bid Evaluation'!#REF!</definedName>
    <definedName name="Total_score3" localSheetId="6">'Bid Evaluation (Sample)'!#REF!</definedName>
    <definedName name="Total_score3" localSheetId="4">'RFP Score Sheet (Sample)'!$C$124:$J$124</definedName>
    <definedName name="Total_score3">'RFP Score Sheet'!$C$206:$P$206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3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5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- Resident Contractor
RV1 -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7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sharedStrings.xml><?xml version="1.0" encoding="utf-8"?>
<sst xmlns="http://schemas.openxmlformats.org/spreadsheetml/2006/main" count="452" uniqueCount="118">
  <si>
    <t>Rater #1</t>
  </si>
  <si>
    <t>Rank #1</t>
  </si>
  <si>
    <t>Rater #2</t>
  </si>
  <si>
    <t>Rank #2</t>
  </si>
  <si>
    <t>Subtotal:</t>
  </si>
  <si>
    <t>Rater #3</t>
  </si>
  <si>
    <t>Rank #3</t>
  </si>
  <si>
    <t>Rater #4</t>
  </si>
  <si>
    <t>Rank #4</t>
  </si>
  <si>
    <t>Rater 1</t>
  </si>
  <si>
    <t>Rater 3</t>
  </si>
  <si>
    <t>Rater 4</t>
  </si>
  <si>
    <t>Rank</t>
  </si>
  <si>
    <t>Overall Rank:</t>
  </si>
  <si>
    <t>INTERVIEWS:</t>
  </si>
  <si>
    <t>Score</t>
  </si>
  <si>
    <t>Total:</t>
  </si>
  <si>
    <t>Firm A</t>
  </si>
  <si>
    <t>Firm B</t>
  </si>
  <si>
    <t>Firm C</t>
  </si>
  <si>
    <t>Firm D</t>
  </si>
  <si>
    <t>(this ranking is used to determine the slate of firms to be interviewed.)</t>
  </si>
  <si>
    <t>Rater 2</t>
  </si>
  <si>
    <t>Total Score</t>
  </si>
  <si>
    <t>Avg Score</t>
  </si>
  <si>
    <t>Rank based on Score</t>
  </si>
  <si>
    <t>Rank based on Avg Score</t>
  </si>
  <si>
    <t>NOT USED FOR FINAL SELECTION - For Comparison Purposes Only</t>
  </si>
  <si>
    <t>SELECTED FOR INTERVIEW</t>
  </si>
  <si>
    <t>Low Price</t>
  </si>
  <si>
    <t>Firm E</t>
  </si>
  <si>
    <t>Overall Interview Rank:</t>
  </si>
  <si>
    <t>Technical Proposal</t>
  </si>
  <si>
    <t>Final Selection Based on Combined Scores from Technical Proposal, Price and Interview</t>
  </si>
  <si>
    <t>NOT USED FOR FINAL SELECTION - For Interview Comparison Purposes Only</t>
  </si>
  <si>
    <t>NOT USED FOR FINAL SELECTION - For Final Award Comparison Purposes Only</t>
  </si>
  <si>
    <t>Overall Final Rank:</t>
  </si>
  <si>
    <t>Firm F</t>
  </si>
  <si>
    <t>Firm G</t>
  </si>
  <si>
    <t>Firm H</t>
  </si>
  <si>
    <t>Weighting:</t>
  </si>
  <si>
    <t>Preference Adjustment</t>
  </si>
  <si>
    <t>Technical -</t>
  </si>
  <si>
    <t>Price -</t>
  </si>
  <si>
    <t>Interview -</t>
  </si>
  <si>
    <t>Total -</t>
  </si>
  <si>
    <t>Percentage of Joint Venture Performed by Non-Resident</t>
  </si>
  <si>
    <t>R</t>
  </si>
  <si>
    <t>Resident Contractor</t>
  </si>
  <si>
    <t>Resident Veteran Contractor &lt;$1M</t>
  </si>
  <si>
    <t>Joint Venture</t>
  </si>
  <si>
    <t>Resident Veteran Contractor &gt;$5M</t>
  </si>
  <si>
    <t>Resident Veteran Contractor &lt;$5M</t>
  </si>
  <si>
    <t>RV1</t>
  </si>
  <si>
    <t>RV2</t>
  </si>
  <si>
    <t>RV3</t>
  </si>
  <si>
    <t>JV</t>
  </si>
  <si>
    <t>Percentage of Joint Venture Performed by Resident</t>
  </si>
  <si>
    <t>Percentage of Joint Venture Performed by Resident Veteran &lt;$1M</t>
  </si>
  <si>
    <t>Percentage of Joint Venture Performed by Resident Veteran &lt;$5M</t>
  </si>
  <si>
    <t>Percentage of Joint Venture Performed by Resident Veteran &gt;$5M</t>
  </si>
  <si>
    <t>Preference Factor For Interview</t>
  </si>
  <si>
    <t>Preference Factor For Technical + Price</t>
  </si>
  <si>
    <t>NR</t>
  </si>
  <si>
    <t>Resident Preference Key</t>
  </si>
  <si>
    <t>Non-Resident Contractor</t>
  </si>
  <si>
    <t>DATE:</t>
  </si>
  <si>
    <t>RFP #</t>
  </si>
  <si>
    <t>PROJECT #</t>
  </si>
  <si>
    <t>PROJECT</t>
  </si>
  <si>
    <t>DISTRICT</t>
  </si>
  <si>
    <t>Alternate 1</t>
  </si>
  <si>
    <t>Alternate 2</t>
  </si>
  <si>
    <t>Base Price</t>
  </si>
  <si>
    <t>Total Price</t>
  </si>
  <si>
    <t>Total Points for Price:</t>
  </si>
  <si>
    <t>Points for Price</t>
  </si>
  <si>
    <t>(Yes if Checked)</t>
  </si>
  <si>
    <t>Rater #5</t>
  </si>
  <si>
    <t>Rank #5</t>
  </si>
  <si>
    <t>Resident Preference Type (Hover to View Key)</t>
  </si>
  <si>
    <t>Price (if applicable)</t>
  </si>
  <si>
    <t>Rater 5</t>
  </si>
  <si>
    <t>Firm I</t>
  </si>
  <si>
    <t>Firm J</t>
  </si>
  <si>
    <t>Firm K</t>
  </si>
  <si>
    <t>Firm L</t>
  </si>
  <si>
    <t>Firm M</t>
  </si>
  <si>
    <t>Firm N</t>
  </si>
  <si>
    <t>Firm O</t>
  </si>
  <si>
    <t>Firm P</t>
  </si>
  <si>
    <t>Firm Q</t>
  </si>
  <si>
    <t>Firm R</t>
  </si>
  <si>
    <t>Firm S</t>
  </si>
  <si>
    <t>Firm T</t>
  </si>
  <si>
    <t>Firm U</t>
  </si>
  <si>
    <t>Firm V</t>
  </si>
  <si>
    <t>Firm W</t>
  </si>
  <si>
    <t>Firm X</t>
  </si>
  <si>
    <t>Firm Y</t>
  </si>
  <si>
    <t># Raters:</t>
  </si>
  <si>
    <t># Offerors:</t>
  </si>
  <si>
    <t>Summary of Interviews:</t>
  </si>
  <si>
    <t>Summary of Technical and Price Evaluations:</t>
  </si>
  <si>
    <t>Alternate 3</t>
  </si>
  <si>
    <t>Alternate 4</t>
  </si>
  <si>
    <t># Bidders:</t>
  </si>
  <si>
    <t>Preference Factor</t>
  </si>
  <si>
    <t>Bid #</t>
  </si>
  <si>
    <t>Dekker/Perich/Sabatini</t>
  </si>
  <si>
    <t>ASA Architects</t>
  </si>
  <si>
    <t>AKS Architects</t>
  </si>
  <si>
    <t>Hartman Design Group</t>
  </si>
  <si>
    <t>Williams Design Group</t>
  </si>
  <si>
    <t>Design Professional Services for CE Elementary renovation</t>
  </si>
  <si>
    <t>P14-012</t>
  </si>
  <si>
    <t>13/14/10</t>
  </si>
  <si>
    <t>Jan. 8,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</si>
</sst>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0.000000000000"/>
    <numFmt numFmtId="173" formatCode="[$-409]dddd\,\ mmmm\ dd\,\ yyyy"/>
    <numFmt numFmtId="174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6" fillId="19" borderId="0" xfId="34" applyAlignment="1">
      <alignment/>
    </xf>
    <xf numFmtId="0" fontId="5" fillId="19" borderId="0" xfId="34" applyFon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6" fillId="19" borderId="0" xfId="34" applyFill="1" applyAlignment="1">
      <alignment/>
    </xf>
    <xf numFmtId="2" fontId="2" fillId="3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6" fillId="0" borderId="0" xfId="34" applyFill="1" applyAlignment="1">
      <alignment/>
    </xf>
    <xf numFmtId="2" fontId="0" fillId="0" borderId="0" xfId="0" applyNumberForma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1" borderId="10" xfId="0" applyNumberFormat="1" applyFill="1" applyBorder="1" applyAlignment="1">
      <alignment/>
    </xf>
    <xf numFmtId="2" fontId="8" fillId="31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31" borderId="0" xfId="0" applyFill="1" applyAlignment="1">
      <alignment/>
    </xf>
    <xf numFmtId="0" fontId="5" fillId="19" borderId="0" xfId="34" applyFont="1" applyAlignment="1">
      <alignment/>
    </xf>
    <xf numFmtId="0" fontId="26" fillId="19" borderId="0" xfId="34" applyAlignment="1">
      <alignment horizontal="right"/>
    </xf>
    <xf numFmtId="0" fontId="4" fillId="19" borderId="0" xfId="34" applyFont="1" applyAlignment="1">
      <alignment horizontal="right"/>
    </xf>
    <xf numFmtId="0" fontId="26" fillId="19" borderId="0" xfId="34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9" fontId="2" fillId="32" borderId="10" xfId="59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32" borderId="13" xfId="59" applyFont="1" applyFill="1" applyBorder="1" applyAlignment="1">
      <alignment horizontal="center" vertical="center"/>
    </xf>
    <xf numFmtId="2" fontId="35" fillId="3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26" fillId="19" borderId="0" xfId="59" applyFont="1" applyFill="1" applyAlignment="1">
      <alignment horizontal="left"/>
    </xf>
    <xf numFmtId="0" fontId="28" fillId="19" borderId="0" xfId="34" applyFont="1" applyAlignment="1">
      <alignment horizontal="right"/>
    </xf>
    <xf numFmtId="0" fontId="26" fillId="19" borderId="15" xfId="34" applyBorder="1" applyAlignment="1">
      <alignment horizontal="right"/>
    </xf>
    <xf numFmtId="0" fontId="26" fillId="19" borderId="15" xfId="34" applyBorder="1" applyAlignment="1">
      <alignment horizontal="left"/>
    </xf>
    <xf numFmtId="0" fontId="26" fillId="19" borderId="0" xfId="34" applyBorder="1" applyAlignment="1">
      <alignment/>
    </xf>
    <xf numFmtId="0" fontId="4" fillId="19" borderId="0" xfId="34" applyFont="1" applyBorder="1" applyAlignment="1">
      <alignment horizontal="left"/>
    </xf>
    <xf numFmtId="0" fontId="5" fillId="19" borderId="0" xfId="34" applyFont="1" applyBorder="1" applyAlignment="1">
      <alignment horizontal="right"/>
    </xf>
    <xf numFmtId="0" fontId="26" fillId="19" borderId="0" xfId="34" applyFont="1" applyBorder="1" applyAlignment="1">
      <alignment/>
    </xf>
    <xf numFmtId="0" fontId="5" fillId="19" borderId="16" xfId="34" applyFont="1" applyBorder="1" applyAlignment="1">
      <alignment/>
    </xf>
    <xf numFmtId="44" fontId="0" fillId="0" borderId="12" xfId="0" applyNumberForma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19" borderId="0" xfId="34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Fill="1" applyAlignment="1">
      <alignment/>
    </xf>
    <xf numFmtId="16" fontId="26" fillId="19" borderId="16" xfId="34" applyNumberFormat="1" applyFont="1" applyBorder="1" applyAlignment="1">
      <alignment/>
    </xf>
    <xf numFmtId="0" fontId="26" fillId="19" borderId="0" xfId="34" applyAlignment="1">
      <alignment/>
    </xf>
    <xf numFmtId="0" fontId="26" fillId="19" borderId="16" xfId="34" applyBorder="1" applyAlignment="1">
      <alignment/>
    </xf>
    <xf numFmtId="0" fontId="26" fillId="19" borderId="0" xfId="34" applyAlignment="1">
      <alignment/>
    </xf>
    <xf numFmtId="44" fontId="35" fillId="33" borderId="14" xfId="44" applyFont="1" applyFill="1" applyBorder="1" applyAlignment="1">
      <alignment horizontal="center" vertic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2" fontId="26" fillId="0" borderId="0" xfId="0" applyNumberFormat="1" applyFont="1" applyAlignment="1" applyProtection="1">
      <alignment horizontal="center"/>
      <protection/>
    </xf>
    <xf numFmtId="14" fontId="26" fillId="19" borderId="0" xfId="34" applyNumberFormat="1" applyBorder="1" applyAlignment="1">
      <alignment/>
    </xf>
    <xf numFmtId="0" fontId="26" fillId="19" borderId="0" xfId="34" applyAlignment="1">
      <alignment/>
    </xf>
    <xf numFmtId="0" fontId="2" fillId="0" borderId="0" xfId="0" applyFont="1" applyAlignment="1">
      <alignment vertical="top" wrapText="1"/>
    </xf>
    <xf numFmtId="0" fontId="26" fillId="19" borderId="0" xfId="34" applyAlignment="1">
      <alignment/>
    </xf>
    <xf numFmtId="0" fontId="2" fillId="31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44"/>
  <sheetViews>
    <sheetView tabSelected="1" zoomScalePageLayoutView="0" workbookViewId="0" topLeftCell="A112">
      <selection activeCell="A120" sqref="A120:IV120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16" width="13.421875" style="0" customWidth="1"/>
  </cols>
  <sheetData>
    <row r="1" spans="1:16" ht="15">
      <c r="A1" s="5" t="s">
        <v>70</v>
      </c>
      <c r="B1" s="74"/>
      <c r="C1" s="74"/>
      <c r="D1" s="33"/>
      <c r="E1" s="4"/>
      <c r="F1" s="4"/>
      <c r="G1" s="4"/>
      <c r="H1" s="4"/>
      <c r="I1" s="4"/>
      <c r="J1" s="57"/>
      <c r="K1" s="57"/>
      <c r="L1" s="57"/>
      <c r="M1" s="57"/>
      <c r="N1" s="57"/>
      <c r="O1" s="57"/>
      <c r="P1" s="57"/>
    </row>
    <row r="2" spans="1:16" ht="15">
      <c r="A2" s="5" t="s">
        <v>69</v>
      </c>
      <c r="B2" s="52" t="s">
        <v>114</v>
      </c>
      <c r="C2" s="52"/>
      <c r="D2" s="53"/>
      <c r="E2" s="51" t="s">
        <v>68</v>
      </c>
      <c r="F2" s="72" t="s">
        <v>115</v>
      </c>
      <c r="G2" s="46" t="s">
        <v>67</v>
      </c>
      <c r="H2" s="71" t="s">
        <v>116</v>
      </c>
      <c r="I2" s="46" t="s">
        <v>66</v>
      </c>
      <c r="J2" s="63" t="s">
        <v>117</v>
      </c>
      <c r="K2" s="46"/>
      <c r="L2" s="46"/>
      <c r="M2" s="46"/>
      <c r="N2" s="46"/>
      <c r="O2" s="46"/>
      <c r="P2" s="46"/>
    </row>
    <row r="3" spans="1:16" ht="15">
      <c r="A3" s="4" t="s">
        <v>40</v>
      </c>
      <c r="B3" s="47" t="s">
        <v>42</v>
      </c>
      <c r="C3" s="48">
        <v>100</v>
      </c>
      <c r="D3" s="35" t="s">
        <v>43</v>
      </c>
      <c r="E3" s="50">
        <v>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</row>
    <row r="4" spans="1:16" ht="15">
      <c r="A4" s="4"/>
      <c r="B4" s="34"/>
      <c r="C4" s="45">
        <f>Technical_Points/I3</f>
        <v>0.5</v>
      </c>
      <c r="D4" s="35"/>
      <c r="E4" s="45">
        <f>Price_Points/I3</f>
        <v>0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</row>
    <row r="6" spans="1:16" ht="45">
      <c r="A6" t="s">
        <v>101</v>
      </c>
      <c r="B6" s="61">
        <f>COUNTA(D6:P6)</f>
        <v>10</v>
      </c>
      <c r="C6" s="58" t="s">
        <v>111</v>
      </c>
      <c r="D6" s="58" t="s">
        <v>110</v>
      </c>
      <c r="E6" s="58" t="s">
        <v>109</v>
      </c>
      <c r="F6" s="58" t="s">
        <v>112</v>
      </c>
      <c r="G6" s="58" t="s">
        <v>113</v>
      </c>
      <c r="I6" s="58"/>
      <c r="J6" s="58"/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</row>
    <row r="7" spans="1:16" ht="32.25" customHeight="1">
      <c r="A7" s="73" t="s">
        <v>80</v>
      </c>
      <c r="B7" s="73"/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</row>
    <row r="8" spans="1:16" ht="34.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</row>
    <row r="9" spans="1:16" ht="34.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</row>
    <row r="10" spans="1:16" ht="34.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</row>
    <row r="11" spans="1:16" ht="34.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</row>
    <row r="12" spans="1:16" ht="34.5" customHeight="1" thickBot="1">
      <c r="A12" s="73" t="s">
        <v>46</v>
      </c>
      <c r="B12" s="73"/>
      <c r="C12" s="40">
        <f aca="true" t="shared" si="0" ref="C12:P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</row>
    <row r="13" spans="1:16" ht="21" customHeight="1" thickTop="1">
      <c r="A13" s="73" t="s">
        <v>62</v>
      </c>
      <c r="B13" s="73"/>
      <c r="C13" s="41">
        <f aca="true" t="shared" si="1" ref="C13:P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0</v>
      </c>
      <c r="D13" s="41">
        <f t="shared" si="1"/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0</v>
      </c>
    </row>
    <row r="14" spans="1:16" ht="18.75" customHeight="1">
      <c r="A14" s="73" t="s">
        <v>61</v>
      </c>
      <c r="B14" s="73"/>
      <c r="C14" s="41">
        <f aca="true" t="shared" si="2" ref="C14:P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0</v>
      </c>
      <c r="D14" s="41">
        <f t="shared" si="2"/>
        <v>0</v>
      </c>
      <c r="E14" s="41">
        <f t="shared" si="2"/>
        <v>0</v>
      </c>
      <c r="F14" s="41">
        <f t="shared" si="2"/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</row>
    <row r="15" spans="1:16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5" ht="15">
      <c r="A16" s="2" t="s">
        <v>0</v>
      </c>
      <c r="B16" s="60" t="b">
        <v>1</v>
      </c>
      <c r="E16" s="6"/>
    </row>
    <row r="17" spans="1:16" ht="15">
      <c r="A17" t="s">
        <v>32</v>
      </c>
      <c r="C17" s="14">
        <v>89</v>
      </c>
      <c r="D17" s="14">
        <v>94</v>
      </c>
      <c r="E17" s="17">
        <v>90</v>
      </c>
      <c r="F17" s="14">
        <v>65</v>
      </c>
      <c r="G17" s="14">
        <v>83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5" thickBot="1">
      <c r="A18" t="s">
        <v>81</v>
      </c>
      <c r="C18" s="20">
        <f>'RFP Price'!B10</f>
        <v>0</v>
      </c>
      <c r="D18" s="20">
        <f>'RFP Price'!C10</f>
        <v>0</v>
      </c>
      <c r="E18" s="20">
        <f>'RFP Price'!D10</f>
        <v>0</v>
      </c>
      <c r="F18" s="20">
        <f>'RFP Price'!E10</f>
        <v>0</v>
      </c>
      <c r="G18" s="20">
        <f>'RFP Price'!F10</f>
        <v>0</v>
      </c>
      <c r="H18" s="20">
        <f>'RFP Price'!G10</f>
        <v>0</v>
      </c>
      <c r="I18" s="20">
        <f>'RFP Price'!H10</f>
        <v>0</v>
      </c>
      <c r="J18" s="20">
        <f>'RFP Price'!Z10</f>
        <v>0</v>
      </c>
      <c r="K18" s="20">
        <f>'RFP Price'!AA10</f>
        <v>0</v>
      </c>
      <c r="L18" s="20">
        <f>'RFP Price'!AB10</f>
        <v>0</v>
      </c>
      <c r="M18" s="20">
        <f>'RFP Price'!AC10</f>
        <v>0</v>
      </c>
      <c r="N18" s="20">
        <f>'RFP Price'!AD10</f>
        <v>0</v>
      </c>
      <c r="O18" s="20">
        <f>'RFP Price'!AE10</f>
        <v>0</v>
      </c>
      <c r="P18" s="20">
        <f>'RFP Price'!AF10</f>
        <v>0</v>
      </c>
    </row>
    <row r="19" spans="1:16" ht="14.25">
      <c r="A19" s="3" t="s">
        <v>4</v>
      </c>
      <c r="C19" s="14">
        <f aca="true" t="shared" si="3" ref="C19:I19">SUM(C17:C18)</f>
        <v>89</v>
      </c>
      <c r="D19" s="14">
        <f t="shared" si="3"/>
        <v>94</v>
      </c>
      <c r="E19" s="17">
        <f t="shared" si="3"/>
        <v>90</v>
      </c>
      <c r="F19" s="17">
        <f t="shared" si="3"/>
        <v>65</v>
      </c>
      <c r="G19" s="17">
        <f t="shared" si="3"/>
        <v>83</v>
      </c>
      <c r="H19" s="17">
        <f t="shared" si="3"/>
        <v>0</v>
      </c>
      <c r="I19" s="17">
        <f t="shared" si="3"/>
        <v>0</v>
      </c>
      <c r="J19" s="17">
        <f aca="true" t="shared" si="4" ref="J19:P19">SUM(J17:J18)</f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</row>
    <row r="20" spans="1:16" ht="14.25">
      <c r="A20" s="3" t="s">
        <v>41</v>
      </c>
      <c r="C20" s="14">
        <f aca="true" t="shared" si="5" ref="C20:P20">IF(Rater_1=TRUE,C19+Preference_Factor1,0)</f>
        <v>89</v>
      </c>
      <c r="D20" s="14">
        <f t="shared" si="5"/>
        <v>94</v>
      </c>
      <c r="E20" s="14">
        <f t="shared" si="5"/>
        <v>90</v>
      </c>
      <c r="F20" s="14">
        <f t="shared" si="5"/>
        <v>65</v>
      </c>
      <c r="G20" s="14">
        <f t="shared" si="5"/>
        <v>83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5"/>
        <v>0</v>
      </c>
    </row>
    <row r="21" spans="1:16" ht="14.25">
      <c r="A21" s="1" t="s">
        <v>1</v>
      </c>
      <c r="B21" s="1"/>
      <c r="C21" s="16">
        <f aca="true" t="shared" si="6" ref="C21:I21">RANK(C20,Rater1,0)+((COUNT(Rater1)+1-RANK(C20,Rater1,0)-RANK(C20,Rater1,1))/2)</f>
        <v>3</v>
      </c>
      <c r="D21" s="16">
        <f t="shared" si="6"/>
        <v>1</v>
      </c>
      <c r="E21" s="16">
        <f t="shared" si="6"/>
        <v>2</v>
      </c>
      <c r="F21" s="16">
        <f t="shared" si="6"/>
        <v>5</v>
      </c>
      <c r="G21" s="16">
        <f t="shared" si="6"/>
        <v>4</v>
      </c>
      <c r="H21" s="16">
        <f t="shared" si="6"/>
        <v>10</v>
      </c>
      <c r="I21" s="16">
        <f t="shared" si="6"/>
        <v>10</v>
      </c>
      <c r="J21" s="16">
        <f aca="true" t="shared" si="7" ref="J21:P21">RANK(J20,Rater1,0)+((COUNT(Rater1)+1-RANK(J20,Rater1,0)-RANK(J20,Rater1,1))/2)</f>
        <v>10</v>
      </c>
      <c r="K21" s="16">
        <f t="shared" si="7"/>
        <v>10</v>
      </c>
      <c r="L21" s="16">
        <f t="shared" si="7"/>
        <v>10</v>
      </c>
      <c r="M21" s="16">
        <f t="shared" si="7"/>
        <v>10</v>
      </c>
      <c r="N21" s="16">
        <f t="shared" si="7"/>
        <v>10</v>
      </c>
      <c r="O21" s="16">
        <f t="shared" si="7"/>
        <v>10</v>
      </c>
      <c r="P21" s="16">
        <f t="shared" si="7"/>
        <v>10</v>
      </c>
    </row>
    <row r="22" spans="1:1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5" ht="15">
      <c r="A23" s="2" t="s">
        <v>2</v>
      </c>
      <c r="B23" s="60" t="b">
        <v>1</v>
      </c>
      <c r="E23" s="6"/>
    </row>
    <row r="24" spans="1:16" ht="15">
      <c r="A24" t="s">
        <v>32</v>
      </c>
      <c r="C24" s="14">
        <v>90</v>
      </c>
      <c r="D24" s="14">
        <v>89</v>
      </c>
      <c r="E24" s="17">
        <v>84</v>
      </c>
      <c r="F24" s="14">
        <v>82</v>
      </c>
      <c r="G24" s="14">
        <v>88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15" thickBot="1">
      <c r="A25" t="s">
        <v>81</v>
      </c>
      <c r="C25" s="20">
        <f aca="true" t="shared" si="8" ref="C25:P25">IF(Rater_2=TRUE,C18,0)</f>
        <v>0</v>
      </c>
      <c r="D25" s="20">
        <f t="shared" si="8"/>
        <v>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</row>
    <row r="26" spans="1:16" ht="14.25">
      <c r="A26" s="3" t="s">
        <v>4</v>
      </c>
      <c r="C26" s="14">
        <f aca="true" t="shared" si="9" ref="C26:I26">SUM(C24:C25)</f>
        <v>90</v>
      </c>
      <c r="D26" s="14">
        <f t="shared" si="9"/>
        <v>89</v>
      </c>
      <c r="E26" s="17">
        <f t="shared" si="9"/>
        <v>84</v>
      </c>
      <c r="F26" s="14">
        <f t="shared" si="9"/>
        <v>82</v>
      </c>
      <c r="G26" s="14">
        <f t="shared" si="9"/>
        <v>88</v>
      </c>
      <c r="H26" s="14">
        <f t="shared" si="9"/>
        <v>0</v>
      </c>
      <c r="I26" s="14">
        <f t="shared" si="9"/>
        <v>0</v>
      </c>
      <c r="J26" s="14">
        <f aca="true" t="shared" si="10" ref="J26:P26">SUM(J24:J25)</f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</row>
    <row r="27" spans="1:16" ht="14.25">
      <c r="A27" s="3" t="s">
        <v>41</v>
      </c>
      <c r="C27" s="14">
        <f aca="true" t="shared" si="11" ref="C27:P27">IF(Rater_2=TRUE,C26+Preference_Factor1,0)</f>
        <v>90</v>
      </c>
      <c r="D27" s="14">
        <f t="shared" si="11"/>
        <v>89</v>
      </c>
      <c r="E27" s="14">
        <f t="shared" si="11"/>
        <v>84</v>
      </c>
      <c r="F27" s="14">
        <f t="shared" si="11"/>
        <v>82</v>
      </c>
      <c r="G27" s="14">
        <f t="shared" si="11"/>
        <v>88</v>
      </c>
      <c r="H27" s="14">
        <f t="shared" si="11"/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14">
        <f t="shared" si="11"/>
        <v>0</v>
      </c>
      <c r="P27" s="14">
        <f t="shared" si="11"/>
        <v>0</v>
      </c>
    </row>
    <row r="28" spans="1:16" ht="14.25">
      <c r="A28" s="1" t="s">
        <v>3</v>
      </c>
      <c r="B28" s="1"/>
      <c r="C28" s="16">
        <f aca="true" t="shared" si="12" ref="C28:I28">RANK(C27,Rater2,0)+((COUNT(Rater2)+1-RANK(C27,Rater2,0)-RANK(C27,Rater2,1))/2)</f>
        <v>1</v>
      </c>
      <c r="D28" s="16">
        <f t="shared" si="12"/>
        <v>2</v>
      </c>
      <c r="E28" s="16">
        <f t="shared" si="12"/>
        <v>4</v>
      </c>
      <c r="F28" s="16">
        <f t="shared" si="12"/>
        <v>5</v>
      </c>
      <c r="G28" s="16">
        <f t="shared" si="12"/>
        <v>3</v>
      </c>
      <c r="H28" s="16">
        <f t="shared" si="12"/>
        <v>10</v>
      </c>
      <c r="I28" s="16">
        <f t="shared" si="12"/>
        <v>10</v>
      </c>
      <c r="J28" s="16">
        <f aca="true" t="shared" si="13" ref="J28:P28">RANK(J27,Rater2,0)+((COUNT(Rater2)+1-RANK(J27,Rater2,0)-RANK(J27,Rater2,1))/2)</f>
        <v>10</v>
      </c>
      <c r="K28" s="16">
        <f t="shared" si="13"/>
        <v>10</v>
      </c>
      <c r="L28" s="16">
        <f t="shared" si="13"/>
        <v>10</v>
      </c>
      <c r="M28" s="16">
        <f t="shared" si="13"/>
        <v>10</v>
      </c>
      <c r="N28" s="16">
        <f t="shared" si="13"/>
        <v>10</v>
      </c>
      <c r="O28" s="16">
        <f t="shared" si="13"/>
        <v>10</v>
      </c>
      <c r="P28" s="16">
        <f t="shared" si="13"/>
        <v>10</v>
      </c>
    </row>
    <row r="29" spans="1:16" ht="15">
      <c r="A29" s="7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5" ht="15">
      <c r="A30" s="2" t="s">
        <v>5</v>
      </c>
      <c r="B30" s="60" t="b">
        <v>1</v>
      </c>
      <c r="E30" s="6"/>
    </row>
    <row r="31" spans="1:16" ht="15">
      <c r="A31" t="s">
        <v>32</v>
      </c>
      <c r="C31" s="14">
        <v>86</v>
      </c>
      <c r="D31" s="14">
        <v>85</v>
      </c>
      <c r="E31" s="17">
        <v>86</v>
      </c>
      <c r="F31" s="14">
        <v>82</v>
      </c>
      <c r="G31" s="14">
        <v>82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ht="15" thickBot="1">
      <c r="A32" t="s">
        <v>81</v>
      </c>
      <c r="C32" s="20">
        <f aca="true" t="shared" si="14" ref="C32:P32">IF(Rater_3=TRUE,C18,0)</f>
        <v>0</v>
      </c>
      <c r="D32" s="20">
        <f t="shared" si="14"/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0</v>
      </c>
      <c r="J32" s="20">
        <f t="shared" si="14"/>
        <v>0</v>
      </c>
      <c r="K32" s="20">
        <f t="shared" si="14"/>
        <v>0</v>
      </c>
      <c r="L32" s="20">
        <f t="shared" si="14"/>
        <v>0</v>
      </c>
      <c r="M32" s="20">
        <f t="shared" si="14"/>
        <v>0</v>
      </c>
      <c r="N32" s="20">
        <f t="shared" si="14"/>
        <v>0</v>
      </c>
      <c r="O32" s="20">
        <f t="shared" si="14"/>
        <v>0</v>
      </c>
      <c r="P32" s="20">
        <f t="shared" si="14"/>
        <v>0</v>
      </c>
    </row>
    <row r="33" spans="1:16" ht="14.25">
      <c r="A33" s="3" t="s">
        <v>4</v>
      </c>
      <c r="C33" s="14">
        <f aca="true" t="shared" si="15" ref="C33:I33">SUM(C31:C32)</f>
        <v>86</v>
      </c>
      <c r="D33" s="14">
        <f t="shared" si="15"/>
        <v>85</v>
      </c>
      <c r="E33" s="17">
        <f t="shared" si="15"/>
        <v>86</v>
      </c>
      <c r="F33" s="14">
        <f t="shared" si="15"/>
        <v>82</v>
      </c>
      <c r="G33" s="14">
        <f t="shared" si="15"/>
        <v>82</v>
      </c>
      <c r="H33" s="14">
        <f t="shared" si="15"/>
        <v>0</v>
      </c>
      <c r="I33" s="14">
        <f t="shared" si="15"/>
        <v>0</v>
      </c>
      <c r="J33" s="14">
        <f aca="true" t="shared" si="16" ref="J33:P33">SUM(J31:J32)</f>
        <v>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14">
        <f t="shared" si="16"/>
        <v>0</v>
      </c>
      <c r="P33" s="14">
        <f t="shared" si="16"/>
        <v>0</v>
      </c>
    </row>
    <row r="34" spans="1:16" ht="14.25">
      <c r="A34" s="3" t="s">
        <v>41</v>
      </c>
      <c r="C34" s="14">
        <f aca="true" t="shared" si="17" ref="C34:P34">IF(Rater_3=TRUE,C33+Preference_Factor1,0)</f>
        <v>86</v>
      </c>
      <c r="D34" s="14">
        <f t="shared" si="17"/>
        <v>85</v>
      </c>
      <c r="E34" s="14">
        <f t="shared" si="17"/>
        <v>86</v>
      </c>
      <c r="F34" s="14">
        <f t="shared" si="17"/>
        <v>82</v>
      </c>
      <c r="G34" s="14">
        <f t="shared" si="17"/>
        <v>82</v>
      </c>
      <c r="H34" s="14">
        <f t="shared" si="17"/>
        <v>0</v>
      </c>
      <c r="I34" s="14">
        <f t="shared" si="17"/>
        <v>0</v>
      </c>
      <c r="J34" s="14">
        <f t="shared" si="17"/>
        <v>0</v>
      </c>
      <c r="K34" s="14">
        <f t="shared" si="17"/>
        <v>0</v>
      </c>
      <c r="L34" s="14">
        <f t="shared" si="17"/>
        <v>0</v>
      </c>
      <c r="M34" s="14">
        <f t="shared" si="17"/>
        <v>0</v>
      </c>
      <c r="N34" s="14">
        <f t="shared" si="17"/>
        <v>0</v>
      </c>
      <c r="O34" s="14">
        <f t="shared" si="17"/>
        <v>0</v>
      </c>
      <c r="P34" s="14">
        <f t="shared" si="17"/>
        <v>0</v>
      </c>
    </row>
    <row r="35" spans="1:16" ht="14.25">
      <c r="A35" s="1" t="s">
        <v>6</v>
      </c>
      <c r="B35" s="1"/>
      <c r="C35" s="16">
        <f aca="true" t="shared" si="18" ref="C35:I35">RANK(C34,Rater3,0)+((COUNT(Rater3)+1-RANK(C34,Rater3,0)-RANK(C34,Rater3,1))/2)</f>
        <v>1.5</v>
      </c>
      <c r="D35" s="16">
        <f t="shared" si="18"/>
        <v>3</v>
      </c>
      <c r="E35" s="16">
        <f t="shared" si="18"/>
        <v>1.5</v>
      </c>
      <c r="F35" s="16">
        <f t="shared" si="18"/>
        <v>4.5</v>
      </c>
      <c r="G35" s="16">
        <f t="shared" si="18"/>
        <v>4.5</v>
      </c>
      <c r="H35" s="16">
        <f t="shared" si="18"/>
        <v>10</v>
      </c>
      <c r="I35" s="16">
        <f t="shared" si="18"/>
        <v>10</v>
      </c>
      <c r="J35" s="16">
        <f aca="true" t="shared" si="19" ref="J35:P35">RANK(J34,Rater3,0)+((COUNT(Rater3)+1-RANK(J34,Rater3,0)-RANK(J34,Rater3,1))/2)</f>
        <v>10</v>
      </c>
      <c r="K35" s="16">
        <f t="shared" si="19"/>
        <v>10</v>
      </c>
      <c r="L35" s="16">
        <f t="shared" si="19"/>
        <v>10</v>
      </c>
      <c r="M35" s="16">
        <f t="shared" si="19"/>
        <v>10</v>
      </c>
      <c r="N35" s="16">
        <f t="shared" si="19"/>
        <v>10</v>
      </c>
      <c r="O35" s="16">
        <f t="shared" si="19"/>
        <v>10</v>
      </c>
      <c r="P35" s="16">
        <f t="shared" si="19"/>
        <v>10</v>
      </c>
    </row>
    <row r="36" spans="1:16" ht="14.25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5" ht="15">
      <c r="A37" s="2" t="s">
        <v>7</v>
      </c>
      <c r="B37" s="60" t="b">
        <v>1</v>
      </c>
      <c r="E37" s="6"/>
    </row>
    <row r="38" spans="1:16" ht="15">
      <c r="A38" t="s">
        <v>32</v>
      </c>
      <c r="C38" s="14">
        <v>92</v>
      </c>
      <c r="D38" s="14">
        <v>91</v>
      </c>
      <c r="E38" s="17">
        <v>85</v>
      </c>
      <c r="F38" s="14">
        <v>84</v>
      </c>
      <c r="G38" s="14">
        <v>87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thickBot="1">
      <c r="A39" t="s">
        <v>81</v>
      </c>
      <c r="C39" s="20">
        <f aca="true" t="shared" si="20" ref="C39:P39">IF(Rater_4=TRUE,C18,0)</f>
        <v>0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  <c r="K39" s="20">
        <f t="shared" si="20"/>
        <v>0</v>
      </c>
      <c r="L39" s="20">
        <f t="shared" si="20"/>
        <v>0</v>
      </c>
      <c r="M39" s="20">
        <f t="shared" si="20"/>
        <v>0</v>
      </c>
      <c r="N39" s="20">
        <f t="shared" si="20"/>
        <v>0</v>
      </c>
      <c r="O39" s="20">
        <f t="shared" si="20"/>
        <v>0</v>
      </c>
      <c r="P39" s="20">
        <f t="shared" si="20"/>
        <v>0</v>
      </c>
    </row>
    <row r="40" spans="1:16" ht="14.25">
      <c r="A40" s="3" t="s">
        <v>4</v>
      </c>
      <c r="C40" s="14">
        <f aca="true" t="shared" si="21" ref="C40:I40">SUM(C38:C39)</f>
        <v>92</v>
      </c>
      <c r="D40" s="14">
        <f t="shared" si="21"/>
        <v>91</v>
      </c>
      <c r="E40" s="17">
        <f t="shared" si="21"/>
        <v>85</v>
      </c>
      <c r="F40" s="14">
        <f t="shared" si="21"/>
        <v>84</v>
      </c>
      <c r="G40" s="14">
        <f t="shared" si="21"/>
        <v>87</v>
      </c>
      <c r="H40" s="14">
        <f t="shared" si="21"/>
        <v>0</v>
      </c>
      <c r="I40" s="14">
        <f t="shared" si="21"/>
        <v>0</v>
      </c>
      <c r="J40" s="14">
        <f aca="true" t="shared" si="22" ref="J40:P40">SUM(J38:J39)</f>
        <v>0</v>
      </c>
      <c r="K40" s="14">
        <f t="shared" si="22"/>
        <v>0</v>
      </c>
      <c r="L40" s="14">
        <f t="shared" si="22"/>
        <v>0</v>
      </c>
      <c r="M40" s="14">
        <f t="shared" si="22"/>
        <v>0</v>
      </c>
      <c r="N40" s="14">
        <f t="shared" si="22"/>
        <v>0</v>
      </c>
      <c r="O40" s="14">
        <f t="shared" si="22"/>
        <v>0</v>
      </c>
      <c r="P40" s="14">
        <f t="shared" si="22"/>
        <v>0</v>
      </c>
    </row>
    <row r="41" spans="1:16" ht="14.25">
      <c r="A41" s="3" t="s">
        <v>41</v>
      </c>
      <c r="C41" s="14">
        <f aca="true" t="shared" si="23" ref="C41:P41">IF(Rater_4=TRUE,C40+Preference_Factor1,0)</f>
        <v>92</v>
      </c>
      <c r="D41" s="14">
        <f t="shared" si="23"/>
        <v>91</v>
      </c>
      <c r="E41" s="14">
        <f t="shared" si="23"/>
        <v>85</v>
      </c>
      <c r="F41" s="14">
        <f t="shared" si="23"/>
        <v>84</v>
      </c>
      <c r="G41" s="14">
        <f t="shared" si="23"/>
        <v>87</v>
      </c>
      <c r="H41" s="14">
        <f t="shared" si="23"/>
        <v>0</v>
      </c>
      <c r="I41" s="14">
        <f t="shared" si="23"/>
        <v>0</v>
      </c>
      <c r="J41" s="14">
        <f t="shared" si="23"/>
        <v>0</v>
      </c>
      <c r="K41" s="14">
        <f t="shared" si="23"/>
        <v>0</v>
      </c>
      <c r="L41" s="14">
        <f t="shared" si="23"/>
        <v>0</v>
      </c>
      <c r="M41" s="14">
        <f t="shared" si="23"/>
        <v>0</v>
      </c>
      <c r="N41" s="14">
        <f t="shared" si="23"/>
        <v>0</v>
      </c>
      <c r="O41" s="14">
        <f t="shared" si="23"/>
        <v>0</v>
      </c>
      <c r="P41" s="14">
        <f t="shared" si="23"/>
        <v>0</v>
      </c>
    </row>
    <row r="42" spans="1:16" ht="14.25">
      <c r="A42" s="1" t="s">
        <v>8</v>
      </c>
      <c r="C42" s="16">
        <f aca="true" t="shared" si="24" ref="C42:I42">RANK(C41,Rater4,0)+((COUNT(Rater4)+1-RANK(C41,Rater4,0)-RANK(C41,Rater4,1))/2)</f>
        <v>1</v>
      </c>
      <c r="D42" s="16">
        <f t="shared" si="24"/>
        <v>2</v>
      </c>
      <c r="E42" s="16">
        <f t="shared" si="24"/>
        <v>4</v>
      </c>
      <c r="F42" s="16">
        <f t="shared" si="24"/>
        <v>5</v>
      </c>
      <c r="G42" s="16">
        <f t="shared" si="24"/>
        <v>3</v>
      </c>
      <c r="H42" s="16">
        <f t="shared" si="24"/>
        <v>10</v>
      </c>
      <c r="I42" s="16">
        <f t="shared" si="24"/>
        <v>10</v>
      </c>
      <c r="J42" s="16">
        <f aca="true" t="shared" si="25" ref="J42:P42">RANK(J41,Rater4,0)+((COUNT(Rater4)+1-RANK(J41,Rater4,0)-RANK(J41,Rater4,1))/2)</f>
        <v>10</v>
      </c>
      <c r="K42" s="16">
        <f t="shared" si="25"/>
        <v>10</v>
      </c>
      <c r="L42" s="16">
        <f t="shared" si="25"/>
        <v>10</v>
      </c>
      <c r="M42" s="16">
        <f t="shared" si="25"/>
        <v>10</v>
      </c>
      <c r="N42" s="16">
        <f t="shared" si="25"/>
        <v>10</v>
      </c>
      <c r="O42" s="16">
        <f t="shared" si="25"/>
        <v>10</v>
      </c>
      <c r="P42" s="16">
        <f t="shared" si="25"/>
        <v>10</v>
      </c>
    </row>
    <row r="43" spans="1:16" ht="14.25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5" ht="15">
      <c r="A44" s="2" t="s">
        <v>78</v>
      </c>
      <c r="B44" s="60" t="b">
        <v>0</v>
      </c>
      <c r="E44" s="6"/>
    </row>
    <row r="45" spans="1:16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6" customFormat="1" ht="15" thickBot="1">
      <c r="A46" t="s">
        <v>81</v>
      </c>
      <c r="B46"/>
      <c r="C46" s="20">
        <f aca="true" t="shared" si="26" ref="C46:P46">IF(Rater_5=TRUE,C18,0)</f>
        <v>0</v>
      </c>
      <c r="D46" s="20">
        <f t="shared" si="26"/>
        <v>0</v>
      </c>
      <c r="E46" s="20">
        <f t="shared" si="26"/>
        <v>0</v>
      </c>
      <c r="F46" s="20">
        <f t="shared" si="26"/>
        <v>0</v>
      </c>
      <c r="G46" s="20">
        <f t="shared" si="26"/>
        <v>0</v>
      </c>
      <c r="H46" s="20">
        <f t="shared" si="26"/>
        <v>0</v>
      </c>
      <c r="I46" s="20">
        <f t="shared" si="26"/>
        <v>0</v>
      </c>
      <c r="J46" s="20">
        <f t="shared" si="26"/>
        <v>0</v>
      </c>
      <c r="K46" s="20">
        <f t="shared" si="26"/>
        <v>0</v>
      </c>
      <c r="L46" s="20">
        <f t="shared" si="26"/>
        <v>0</v>
      </c>
      <c r="M46" s="20">
        <f t="shared" si="26"/>
        <v>0</v>
      </c>
      <c r="N46" s="20">
        <f t="shared" si="26"/>
        <v>0</v>
      </c>
      <c r="O46" s="20">
        <f t="shared" si="26"/>
        <v>0</v>
      </c>
      <c r="P46" s="20">
        <f t="shared" si="26"/>
        <v>0</v>
      </c>
    </row>
    <row r="47" spans="1:16" ht="14.25">
      <c r="A47" s="3" t="s">
        <v>4</v>
      </c>
      <c r="C47" s="14">
        <f aca="true" t="shared" si="27" ref="C47:I47">SUM(C45:C46)</f>
        <v>0</v>
      </c>
      <c r="D47" s="14">
        <f t="shared" si="27"/>
        <v>0</v>
      </c>
      <c r="E47" s="17">
        <f t="shared" si="27"/>
        <v>0</v>
      </c>
      <c r="F47" s="14">
        <f t="shared" si="27"/>
        <v>0</v>
      </c>
      <c r="G47" s="14">
        <f t="shared" si="27"/>
        <v>0</v>
      </c>
      <c r="H47" s="14">
        <f t="shared" si="27"/>
        <v>0</v>
      </c>
      <c r="I47" s="14">
        <f t="shared" si="27"/>
        <v>0</v>
      </c>
      <c r="J47" s="14">
        <f aca="true" t="shared" si="28" ref="J47:P47">SUM(J45:J46)</f>
        <v>0</v>
      </c>
      <c r="K47" s="14">
        <f t="shared" si="28"/>
        <v>0</v>
      </c>
      <c r="L47" s="14">
        <f t="shared" si="28"/>
        <v>0</v>
      </c>
      <c r="M47" s="14">
        <f t="shared" si="28"/>
        <v>0</v>
      </c>
      <c r="N47" s="14">
        <f t="shared" si="28"/>
        <v>0</v>
      </c>
      <c r="O47" s="14">
        <f t="shared" si="28"/>
        <v>0</v>
      </c>
      <c r="P47" s="14">
        <f t="shared" si="28"/>
        <v>0</v>
      </c>
    </row>
    <row r="48" spans="1:16" ht="14.25">
      <c r="A48" s="3" t="s">
        <v>41</v>
      </c>
      <c r="C48" s="14">
        <f aca="true" t="shared" si="29" ref="C48:P48">IF(Rater_5=TRUE,C47+Preference_Factor1,0)</f>
        <v>0</v>
      </c>
      <c r="D48" s="14">
        <f t="shared" si="29"/>
        <v>0</v>
      </c>
      <c r="E48" s="14">
        <f t="shared" si="29"/>
        <v>0</v>
      </c>
      <c r="F48" s="14">
        <f t="shared" si="29"/>
        <v>0</v>
      </c>
      <c r="G48" s="14">
        <f t="shared" si="29"/>
        <v>0</v>
      </c>
      <c r="H48" s="14">
        <f t="shared" si="29"/>
        <v>0</v>
      </c>
      <c r="I48" s="14">
        <f t="shared" si="29"/>
        <v>0</v>
      </c>
      <c r="J48" s="14">
        <f t="shared" si="29"/>
        <v>0</v>
      </c>
      <c r="K48" s="14">
        <f t="shared" si="29"/>
        <v>0</v>
      </c>
      <c r="L48" s="14">
        <f t="shared" si="29"/>
        <v>0</v>
      </c>
      <c r="M48" s="14">
        <f t="shared" si="29"/>
        <v>0</v>
      </c>
      <c r="N48" s="14">
        <f t="shared" si="29"/>
        <v>0</v>
      </c>
      <c r="O48" s="14">
        <f t="shared" si="29"/>
        <v>0</v>
      </c>
      <c r="P48" s="14">
        <f t="shared" si="29"/>
        <v>0</v>
      </c>
    </row>
    <row r="49" spans="1:16" ht="14.25">
      <c r="A49" s="1" t="s">
        <v>79</v>
      </c>
      <c r="C49" s="16">
        <f aca="true" t="shared" si="30" ref="C49:P49">RANK(C48,Rater5,0)+((COUNT(Rater5)+1-RANK(C48,Rater5,0)-RANK(C48,Rater5,1))/2)</f>
        <v>7.5</v>
      </c>
      <c r="D49" s="16">
        <f t="shared" si="30"/>
        <v>7.5</v>
      </c>
      <c r="E49" s="16">
        <f t="shared" si="30"/>
        <v>7.5</v>
      </c>
      <c r="F49" s="16">
        <f t="shared" si="30"/>
        <v>7.5</v>
      </c>
      <c r="G49" s="16">
        <f t="shared" si="30"/>
        <v>7.5</v>
      </c>
      <c r="H49" s="16">
        <f t="shared" si="30"/>
        <v>7.5</v>
      </c>
      <c r="I49" s="16">
        <f t="shared" si="30"/>
        <v>7.5</v>
      </c>
      <c r="J49" s="16">
        <f t="shared" si="30"/>
        <v>7.5</v>
      </c>
      <c r="K49" s="16">
        <f t="shared" si="30"/>
        <v>7.5</v>
      </c>
      <c r="L49" s="16">
        <f t="shared" si="30"/>
        <v>7.5</v>
      </c>
      <c r="M49" s="16">
        <f t="shared" si="30"/>
        <v>7.5</v>
      </c>
      <c r="N49" s="16">
        <f t="shared" si="30"/>
        <v>7.5</v>
      </c>
      <c r="O49" s="16">
        <f t="shared" si="30"/>
        <v>7.5</v>
      </c>
      <c r="P49" s="16">
        <f t="shared" si="30"/>
        <v>7.5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2:6" ht="14.25">
      <c r="B53" s="61"/>
      <c r="C53" s="14"/>
      <c r="D53" s="14"/>
      <c r="E53" s="14"/>
      <c r="F53" s="14"/>
    </row>
    <row r="54" spans="2:6" ht="14.25">
      <c r="B54" s="61"/>
      <c r="C54" s="14"/>
      <c r="D54" s="14"/>
      <c r="E54" s="14"/>
      <c r="F54" s="14"/>
    </row>
    <row r="55" spans="2:6" ht="14.25">
      <c r="B55" s="61"/>
      <c r="C55" s="14"/>
      <c r="D55" s="14"/>
      <c r="E55" s="14"/>
      <c r="F55" s="14"/>
    </row>
    <row r="56" spans="1:16" ht="28.5">
      <c r="A56" t="s">
        <v>101</v>
      </c>
      <c r="B56" s="61">
        <f>COUNTA(D56:P56)</f>
        <v>10</v>
      </c>
      <c r="C56" s="58" t="s">
        <v>111</v>
      </c>
      <c r="D56" s="58" t="s">
        <v>110</v>
      </c>
      <c r="E56" s="58" t="s">
        <v>109</v>
      </c>
      <c r="F56" s="58" t="s">
        <v>112</v>
      </c>
      <c r="G56" s="58" t="s">
        <v>113</v>
      </c>
      <c r="I56" s="58"/>
      <c r="J56" s="58"/>
      <c r="K56" s="58" t="s">
        <v>83</v>
      </c>
      <c r="L56" s="58" t="s">
        <v>84</v>
      </c>
      <c r="M56" s="58" t="s">
        <v>85</v>
      </c>
      <c r="N56" s="58" t="s">
        <v>86</v>
      </c>
      <c r="O56" s="58" t="s">
        <v>87</v>
      </c>
      <c r="P56" s="58" t="s">
        <v>88</v>
      </c>
    </row>
    <row r="57" spans="1:16" ht="14.25">
      <c r="A57" s="15"/>
      <c r="B57" s="15" t="s">
        <v>103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ht="14.25">
      <c r="E58" s="6"/>
    </row>
    <row r="59" spans="1:16" ht="14.25">
      <c r="A59" t="s">
        <v>9</v>
      </c>
      <c r="C59" s="14">
        <f aca="true" t="shared" si="31" ref="C59:P59">IF(Rater_1=TRUE,C21,0)</f>
        <v>3</v>
      </c>
      <c r="D59" s="14">
        <f t="shared" si="31"/>
        <v>1</v>
      </c>
      <c r="E59" s="14">
        <f t="shared" si="31"/>
        <v>2</v>
      </c>
      <c r="F59" s="14">
        <f t="shared" si="31"/>
        <v>5</v>
      </c>
      <c r="G59" s="14">
        <f t="shared" si="31"/>
        <v>4</v>
      </c>
      <c r="H59" s="14">
        <f t="shared" si="31"/>
        <v>10</v>
      </c>
      <c r="I59" s="14">
        <f t="shared" si="31"/>
        <v>10</v>
      </c>
      <c r="J59" s="14">
        <f t="shared" si="31"/>
        <v>10</v>
      </c>
      <c r="K59" s="14">
        <f t="shared" si="31"/>
        <v>10</v>
      </c>
      <c r="L59" s="14">
        <f t="shared" si="31"/>
        <v>10</v>
      </c>
      <c r="M59" s="14">
        <f t="shared" si="31"/>
        <v>10</v>
      </c>
      <c r="N59" s="14">
        <f t="shared" si="31"/>
        <v>10</v>
      </c>
      <c r="O59" s="14">
        <f t="shared" si="31"/>
        <v>10</v>
      </c>
      <c r="P59" s="14">
        <f t="shared" si="31"/>
        <v>10</v>
      </c>
    </row>
    <row r="60" spans="1:16" ht="14.25">
      <c r="A60" t="s">
        <v>22</v>
      </c>
      <c r="C60" s="14">
        <f aca="true" t="shared" si="32" ref="C60:P60">IF(Rater_2=TRUE,C28,0)</f>
        <v>1</v>
      </c>
      <c r="D60" s="14">
        <f t="shared" si="32"/>
        <v>2</v>
      </c>
      <c r="E60" s="14">
        <f t="shared" si="32"/>
        <v>4</v>
      </c>
      <c r="F60" s="14">
        <f t="shared" si="32"/>
        <v>5</v>
      </c>
      <c r="G60" s="14">
        <f t="shared" si="32"/>
        <v>3</v>
      </c>
      <c r="H60" s="14">
        <f t="shared" si="32"/>
        <v>10</v>
      </c>
      <c r="I60" s="14">
        <f t="shared" si="32"/>
        <v>10</v>
      </c>
      <c r="J60" s="14">
        <f t="shared" si="32"/>
        <v>10</v>
      </c>
      <c r="K60" s="14">
        <f t="shared" si="32"/>
        <v>10</v>
      </c>
      <c r="L60" s="14">
        <f t="shared" si="32"/>
        <v>10</v>
      </c>
      <c r="M60" s="14">
        <f t="shared" si="32"/>
        <v>10</v>
      </c>
      <c r="N60" s="14">
        <f t="shared" si="32"/>
        <v>10</v>
      </c>
      <c r="O60" s="14">
        <f t="shared" si="32"/>
        <v>10</v>
      </c>
      <c r="P60" s="14">
        <f t="shared" si="32"/>
        <v>10</v>
      </c>
    </row>
    <row r="61" spans="1:16" ht="14.25">
      <c r="A61" t="s">
        <v>10</v>
      </c>
      <c r="C61" s="14">
        <f aca="true" t="shared" si="33" ref="C61:P61">IF(Rater_3=TRUE,C35,0)</f>
        <v>1.5</v>
      </c>
      <c r="D61" s="14">
        <f t="shared" si="33"/>
        <v>3</v>
      </c>
      <c r="E61" s="14">
        <f t="shared" si="33"/>
        <v>1.5</v>
      </c>
      <c r="F61" s="14">
        <f t="shared" si="33"/>
        <v>4.5</v>
      </c>
      <c r="G61" s="14">
        <f t="shared" si="33"/>
        <v>4.5</v>
      </c>
      <c r="H61" s="14">
        <f t="shared" si="33"/>
        <v>10</v>
      </c>
      <c r="I61" s="14">
        <f t="shared" si="33"/>
        <v>10</v>
      </c>
      <c r="J61" s="14">
        <f t="shared" si="33"/>
        <v>10</v>
      </c>
      <c r="K61" s="14">
        <f t="shared" si="33"/>
        <v>10</v>
      </c>
      <c r="L61" s="14">
        <f t="shared" si="33"/>
        <v>10</v>
      </c>
      <c r="M61" s="14">
        <f t="shared" si="33"/>
        <v>10</v>
      </c>
      <c r="N61" s="14">
        <f t="shared" si="33"/>
        <v>10</v>
      </c>
      <c r="O61" s="14">
        <f t="shared" si="33"/>
        <v>10</v>
      </c>
      <c r="P61" s="14">
        <f t="shared" si="33"/>
        <v>10</v>
      </c>
    </row>
    <row r="62" spans="1:16" ht="14.25">
      <c r="A62" t="s">
        <v>11</v>
      </c>
      <c r="C62" s="14">
        <f aca="true" t="shared" si="34" ref="C62:P62">IF(Rater_4=TRUE,C42,0)</f>
        <v>1</v>
      </c>
      <c r="D62" s="14">
        <f t="shared" si="34"/>
        <v>2</v>
      </c>
      <c r="E62" s="14">
        <f t="shared" si="34"/>
        <v>4</v>
      </c>
      <c r="F62" s="14">
        <f t="shared" si="34"/>
        <v>5</v>
      </c>
      <c r="G62" s="14">
        <f t="shared" si="34"/>
        <v>3</v>
      </c>
      <c r="H62" s="14">
        <f t="shared" si="34"/>
        <v>10</v>
      </c>
      <c r="I62" s="14">
        <f t="shared" si="34"/>
        <v>10</v>
      </c>
      <c r="J62" s="14">
        <f t="shared" si="34"/>
        <v>10</v>
      </c>
      <c r="K62" s="14">
        <f t="shared" si="34"/>
        <v>10</v>
      </c>
      <c r="L62" s="14">
        <f t="shared" si="34"/>
        <v>10</v>
      </c>
      <c r="M62" s="14">
        <f t="shared" si="34"/>
        <v>10</v>
      </c>
      <c r="N62" s="14">
        <f t="shared" si="34"/>
        <v>10</v>
      </c>
      <c r="O62" s="14">
        <f t="shared" si="34"/>
        <v>10</v>
      </c>
      <c r="P62" s="14">
        <f t="shared" si="34"/>
        <v>10</v>
      </c>
    </row>
    <row r="63" spans="1:16" ht="14.25">
      <c r="A63" t="s">
        <v>82</v>
      </c>
      <c r="C63" s="14">
        <f aca="true" t="shared" si="35" ref="C63:P63">IF(Rater_5=TRUE,C49,0)</f>
        <v>0</v>
      </c>
      <c r="D63" s="14">
        <f t="shared" si="35"/>
        <v>0</v>
      </c>
      <c r="E63" s="14">
        <f t="shared" si="35"/>
        <v>0</v>
      </c>
      <c r="F63" s="14">
        <f t="shared" si="35"/>
        <v>0</v>
      </c>
      <c r="G63" s="14">
        <f t="shared" si="35"/>
        <v>0</v>
      </c>
      <c r="H63" s="14">
        <f t="shared" si="35"/>
        <v>0</v>
      </c>
      <c r="I63" s="14">
        <f t="shared" si="35"/>
        <v>0</v>
      </c>
      <c r="J63" s="14">
        <f t="shared" si="35"/>
        <v>0</v>
      </c>
      <c r="K63" s="14">
        <f t="shared" si="35"/>
        <v>0</v>
      </c>
      <c r="L63" s="14">
        <f t="shared" si="35"/>
        <v>0</v>
      </c>
      <c r="M63" s="14">
        <f t="shared" si="35"/>
        <v>0</v>
      </c>
      <c r="N63" s="14">
        <f t="shared" si="35"/>
        <v>0</v>
      </c>
      <c r="O63" s="14">
        <f t="shared" si="35"/>
        <v>0</v>
      </c>
      <c r="P63" s="14">
        <f t="shared" si="35"/>
        <v>0</v>
      </c>
    </row>
    <row r="64" spans="2:16" ht="14.25">
      <c r="B64" s="1" t="s">
        <v>16</v>
      </c>
      <c r="C64" s="16">
        <f aca="true" t="shared" si="36" ref="C64:I64">SUM(C59:C63)</f>
        <v>6.5</v>
      </c>
      <c r="D64" s="16">
        <f t="shared" si="36"/>
        <v>8</v>
      </c>
      <c r="E64" s="16">
        <f t="shared" si="36"/>
        <v>11.5</v>
      </c>
      <c r="F64" s="16">
        <f t="shared" si="36"/>
        <v>19.5</v>
      </c>
      <c r="G64" s="16">
        <f t="shared" si="36"/>
        <v>14.5</v>
      </c>
      <c r="H64" s="16">
        <f t="shared" si="36"/>
        <v>40</v>
      </c>
      <c r="I64" s="16">
        <f t="shared" si="36"/>
        <v>40</v>
      </c>
      <c r="J64" s="16">
        <f aca="true" t="shared" si="37" ref="J64:P64">SUM(J59:J63)</f>
        <v>40</v>
      </c>
      <c r="K64" s="16">
        <f t="shared" si="37"/>
        <v>40</v>
      </c>
      <c r="L64" s="16">
        <f t="shared" si="37"/>
        <v>40</v>
      </c>
      <c r="M64" s="16">
        <f t="shared" si="37"/>
        <v>40</v>
      </c>
      <c r="N64" s="16">
        <f t="shared" si="37"/>
        <v>40</v>
      </c>
      <c r="O64" s="16">
        <f t="shared" si="37"/>
        <v>40</v>
      </c>
      <c r="P64" s="16">
        <f t="shared" si="37"/>
        <v>40</v>
      </c>
    </row>
    <row r="65" spans="3:16" ht="14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4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6" ht="14.25">
      <c r="C67" s="11"/>
      <c r="D67" s="11"/>
      <c r="E67" s="13"/>
      <c r="F67" s="13"/>
    </row>
    <row r="68" spans="1:16" ht="14.25">
      <c r="A68" s="1" t="s">
        <v>13</v>
      </c>
      <c r="B68" s="1"/>
      <c r="C68" s="16">
        <f aca="true" t="shared" si="38" ref="C68:P68">RANK(C64,Shortlist_rank,1)+((COUNT(Shortlist_rank)+1-RANK(C64,Shortlist_rank,0)-RANK(C64,Shortlist_rank,1))/2)</f>
        <v>1</v>
      </c>
      <c r="D68" s="16">
        <f t="shared" si="38"/>
        <v>2</v>
      </c>
      <c r="E68" s="16">
        <f t="shared" si="38"/>
        <v>3</v>
      </c>
      <c r="F68" s="16">
        <f t="shared" si="38"/>
        <v>5</v>
      </c>
      <c r="G68" s="16">
        <f t="shared" si="38"/>
        <v>4</v>
      </c>
      <c r="H68" s="16">
        <f t="shared" si="38"/>
        <v>10</v>
      </c>
      <c r="I68" s="16">
        <f t="shared" si="38"/>
        <v>10</v>
      </c>
      <c r="J68" s="16">
        <f t="shared" si="38"/>
        <v>10</v>
      </c>
      <c r="K68" s="16">
        <f t="shared" si="38"/>
        <v>10</v>
      </c>
      <c r="L68" s="16">
        <f t="shared" si="38"/>
        <v>10</v>
      </c>
      <c r="M68" s="16">
        <f t="shared" si="38"/>
        <v>10</v>
      </c>
      <c r="N68" s="16">
        <f t="shared" si="38"/>
        <v>10</v>
      </c>
      <c r="O68" s="16">
        <f t="shared" si="38"/>
        <v>10</v>
      </c>
      <c r="P68" s="16">
        <f t="shared" si="38"/>
        <v>10</v>
      </c>
    </row>
    <row r="69" ht="14.25">
      <c r="A69" t="s">
        <v>21</v>
      </c>
    </row>
    <row r="71" spans="1:16" ht="15">
      <c r="A71" t="s">
        <v>28</v>
      </c>
      <c r="C71" s="70" t="b">
        <v>0</v>
      </c>
      <c r="D71" s="55" t="b">
        <v>0</v>
      </c>
      <c r="E71" s="55" t="b">
        <v>0</v>
      </c>
      <c r="F71" s="55" t="b">
        <v>0</v>
      </c>
      <c r="G71" s="55" t="b">
        <v>0</v>
      </c>
      <c r="H71" s="55" t="b">
        <v>0</v>
      </c>
      <c r="I71" s="55" t="b">
        <v>0</v>
      </c>
      <c r="J71" s="55" t="b">
        <v>0</v>
      </c>
      <c r="K71" s="55" t="b">
        <v>0</v>
      </c>
      <c r="L71" s="55" t="b">
        <v>0</v>
      </c>
      <c r="M71" s="55" t="b">
        <v>0</v>
      </c>
      <c r="N71" s="55" t="b">
        <v>0</v>
      </c>
      <c r="O71" s="55" t="b">
        <v>0</v>
      </c>
      <c r="P71" s="55" t="b">
        <v>0</v>
      </c>
    </row>
    <row r="72" spans="1:2" ht="15">
      <c r="A72" s="59" t="s">
        <v>77</v>
      </c>
      <c r="B72" s="59"/>
    </row>
    <row r="73" spans="1:16" ht="15" thickBot="1">
      <c r="A73" s="76" t="s">
        <v>27</v>
      </c>
      <c r="B73" s="76"/>
      <c r="C73" s="76"/>
      <c r="D73" s="76"/>
      <c r="E73" s="76"/>
      <c r="F73" s="76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s="10" customFormat="1" ht="14.25">
      <c r="A74" s="26" t="s">
        <v>23</v>
      </c>
      <c r="B74" s="26"/>
      <c r="C74" s="27">
        <f aca="true" t="shared" si="39" ref="C74:P74">C20+C27+C34+C41+C48</f>
        <v>357</v>
      </c>
      <c r="D74" s="27">
        <f t="shared" si="39"/>
        <v>359</v>
      </c>
      <c r="E74" s="27">
        <f t="shared" si="39"/>
        <v>345</v>
      </c>
      <c r="F74" s="27">
        <f t="shared" si="39"/>
        <v>313</v>
      </c>
      <c r="G74" s="27">
        <f t="shared" si="39"/>
        <v>340</v>
      </c>
      <c r="H74" s="27">
        <f t="shared" si="39"/>
        <v>0</v>
      </c>
      <c r="I74" s="27">
        <f t="shared" si="39"/>
        <v>0</v>
      </c>
      <c r="J74" s="27">
        <f t="shared" si="39"/>
        <v>0</v>
      </c>
      <c r="K74" s="27">
        <f t="shared" si="39"/>
        <v>0</v>
      </c>
      <c r="L74" s="27">
        <f t="shared" si="39"/>
        <v>0</v>
      </c>
      <c r="M74" s="27">
        <f t="shared" si="39"/>
        <v>0</v>
      </c>
      <c r="N74" s="27">
        <f t="shared" si="39"/>
        <v>0</v>
      </c>
      <c r="O74" s="27">
        <f t="shared" si="39"/>
        <v>0</v>
      </c>
      <c r="P74" s="27">
        <f t="shared" si="39"/>
        <v>0</v>
      </c>
    </row>
    <row r="75" spans="1:16" s="10" customFormat="1" ht="14.25">
      <c r="A75" s="26" t="s">
        <v>25</v>
      </c>
      <c r="B75" s="26"/>
      <c r="C75" s="27">
        <f>RANK(C74,C74:P74,0)</f>
        <v>2</v>
      </c>
      <c r="D75" s="27">
        <f>RANK(D74,C74:P74,0)</f>
        <v>1</v>
      </c>
      <c r="E75" s="27">
        <f>RANK(E74,C74:P74,0)</f>
        <v>3</v>
      </c>
      <c r="F75" s="27">
        <f>RANK(F74,C74:P74,0)</f>
        <v>5</v>
      </c>
      <c r="G75" s="27">
        <f>RANK(G74,C74:P74,0)</f>
        <v>4</v>
      </c>
      <c r="H75" s="27">
        <f>RANK(H74,C74:P74,0)</f>
        <v>6</v>
      </c>
      <c r="I75" s="27">
        <f>RANK(I74,C74:P74,0)</f>
        <v>6</v>
      </c>
      <c r="J75" s="27">
        <f>RANK(J74,D74:P74,0)</f>
        <v>5</v>
      </c>
      <c r="K75" s="27">
        <f>RANK(K74,E74:P74,0)</f>
        <v>4</v>
      </c>
      <c r="L75" s="27">
        <f>RANK(L74,F74:P74,0)</f>
        <v>3</v>
      </c>
      <c r="M75" s="27">
        <f>RANK(M74,G74:P74,0)</f>
        <v>2</v>
      </c>
      <c r="N75" s="27">
        <f>RANK(N74,H74:P74,0)</f>
        <v>1</v>
      </c>
      <c r="O75" s="27">
        <f>RANK(O74,I74:P74,0)</f>
        <v>1</v>
      </c>
      <c r="P75" s="27">
        <f>RANK(P74,J74:P74,0)</f>
        <v>1</v>
      </c>
    </row>
    <row r="76" spans="1:16" ht="14.25">
      <c r="A76" s="26" t="s">
        <v>24</v>
      </c>
      <c r="B76" s="26"/>
      <c r="C76" s="27">
        <f aca="true" t="shared" si="40" ref="C76:P76">C74/Raters</f>
        <v>89.25</v>
      </c>
      <c r="D76" s="27">
        <f t="shared" si="40"/>
        <v>89.75</v>
      </c>
      <c r="E76" s="27">
        <f t="shared" si="40"/>
        <v>86.25</v>
      </c>
      <c r="F76" s="27">
        <f t="shared" si="40"/>
        <v>78.25</v>
      </c>
      <c r="G76" s="27">
        <f t="shared" si="40"/>
        <v>85</v>
      </c>
      <c r="H76" s="27">
        <f t="shared" si="40"/>
        <v>0</v>
      </c>
      <c r="I76" s="27">
        <f t="shared" si="40"/>
        <v>0</v>
      </c>
      <c r="J76" s="27">
        <f t="shared" si="40"/>
        <v>0</v>
      </c>
      <c r="K76" s="27">
        <f t="shared" si="40"/>
        <v>0</v>
      </c>
      <c r="L76" s="27">
        <f t="shared" si="40"/>
        <v>0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</row>
    <row r="77" spans="1:16" ht="14.25">
      <c r="A77" s="26" t="s">
        <v>26</v>
      </c>
      <c r="B77" s="26"/>
      <c r="C77" s="27">
        <f aca="true" t="shared" si="41" ref="C77:P77">RANK(C76,AVG_Score,0)</f>
        <v>2</v>
      </c>
      <c r="D77" s="27">
        <f t="shared" si="41"/>
        <v>1</v>
      </c>
      <c r="E77" s="27">
        <f t="shared" si="41"/>
        <v>3</v>
      </c>
      <c r="F77" s="27">
        <f t="shared" si="41"/>
        <v>5</v>
      </c>
      <c r="G77" s="27">
        <f t="shared" si="41"/>
        <v>4</v>
      </c>
      <c r="H77" s="27">
        <f t="shared" si="41"/>
        <v>6</v>
      </c>
      <c r="I77" s="27">
        <f t="shared" si="41"/>
        <v>6</v>
      </c>
      <c r="J77" s="27">
        <f t="shared" si="41"/>
        <v>6</v>
      </c>
      <c r="K77" s="27">
        <f t="shared" si="41"/>
        <v>6</v>
      </c>
      <c r="L77" s="27">
        <f t="shared" si="41"/>
        <v>6</v>
      </c>
      <c r="M77" s="27">
        <f t="shared" si="41"/>
        <v>6</v>
      </c>
      <c r="N77" s="27">
        <f t="shared" si="41"/>
        <v>6</v>
      </c>
      <c r="O77" s="27">
        <f t="shared" si="41"/>
        <v>6</v>
      </c>
      <c r="P77" s="27">
        <f t="shared" si="41"/>
        <v>6</v>
      </c>
    </row>
    <row r="120" spans="1:16" ht="28.5">
      <c r="A120" t="s">
        <v>101</v>
      </c>
      <c r="B120" s="61">
        <f>COUNTA(D120:P120)</f>
        <v>10</v>
      </c>
      <c r="C120" s="58" t="s">
        <v>111</v>
      </c>
      <c r="D120" s="58" t="s">
        <v>110</v>
      </c>
      <c r="E120" s="58" t="s">
        <v>109</v>
      </c>
      <c r="F120" s="58" t="s">
        <v>112</v>
      </c>
      <c r="G120" s="58" t="s">
        <v>113</v>
      </c>
      <c r="I120" s="58"/>
      <c r="J120" s="58"/>
      <c r="K120" s="58" t="s">
        <v>83</v>
      </c>
      <c r="L120" s="58" t="s">
        <v>84</v>
      </c>
      <c r="M120" s="58" t="s">
        <v>85</v>
      </c>
      <c r="N120" s="58" t="s">
        <v>86</v>
      </c>
      <c r="O120" s="58" t="s">
        <v>87</v>
      </c>
      <c r="P120" s="58" t="s">
        <v>88</v>
      </c>
    </row>
    <row r="121" spans="1:16" ht="14.25">
      <c r="A121" s="10"/>
      <c r="B121" s="10"/>
      <c r="C121" s="10"/>
      <c r="D121" s="10"/>
      <c r="E121" s="10"/>
      <c r="F121" s="10"/>
      <c r="G121" s="10"/>
      <c r="H121" s="10"/>
      <c r="I121" s="10"/>
      <c r="J121" s="56"/>
      <c r="K121" s="56"/>
      <c r="L121" s="56"/>
      <c r="M121" s="56"/>
      <c r="N121" s="56"/>
      <c r="O121" s="56"/>
      <c r="P121" s="56"/>
    </row>
    <row r="122" spans="1:16" ht="14.25">
      <c r="A122" s="10"/>
      <c r="B122" s="10"/>
      <c r="C122" s="21" t="str">
        <f>IF(C71=TRUE,E6,"N/A")</f>
        <v>N/A</v>
      </c>
      <c r="D122" s="21" t="str">
        <f>IF(D71=TRUE,D6,"N/A")</f>
        <v>N/A</v>
      </c>
      <c r="E122" s="21" t="str">
        <f>IF(E71=TRUE,#REF!,"N/A")</f>
        <v>N/A</v>
      </c>
      <c r="F122" s="21" t="str">
        <f>IF(F71=TRUE,F6,"N/A")</f>
        <v>N/A</v>
      </c>
      <c r="G122" s="21" t="str">
        <f>IF(G71=TRUE,G6,"N/A")</f>
        <v>N/A</v>
      </c>
      <c r="H122" s="21" t="str">
        <f>IF(H71=TRUE,C6,"N/A")</f>
        <v>N/A</v>
      </c>
      <c r="I122" s="21" t="str">
        <f aca="true" t="shared" si="42" ref="I122:P122">IF(I71=TRUE,I6,"N/A")</f>
        <v>N/A</v>
      </c>
      <c r="J122" s="21" t="str">
        <f t="shared" si="42"/>
        <v>N/A</v>
      </c>
      <c r="K122" s="21" t="str">
        <f t="shared" si="42"/>
        <v>N/A</v>
      </c>
      <c r="L122" s="21" t="str">
        <f t="shared" si="42"/>
        <v>N/A</v>
      </c>
      <c r="M122" s="21" t="str">
        <f t="shared" si="42"/>
        <v>N/A</v>
      </c>
      <c r="N122" s="21" t="str">
        <f t="shared" si="42"/>
        <v>N/A</v>
      </c>
      <c r="O122" s="21" t="str">
        <f t="shared" si="42"/>
        <v>N/A</v>
      </c>
      <c r="P122" s="21" t="str">
        <f t="shared" si="42"/>
        <v>N/A</v>
      </c>
    </row>
    <row r="123" spans="1:6" ht="15">
      <c r="A123" s="9" t="s">
        <v>0</v>
      </c>
      <c r="B123" s="62" t="b">
        <v>1</v>
      </c>
      <c r="C123" s="6"/>
      <c r="D123" s="6"/>
      <c r="E123" s="6"/>
      <c r="F123" s="6"/>
    </row>
    <row r="124" spans="1:16" ht="15">
      <c r="A124" s="6" t="s">
        <v>15</v>
      </c>
      <c r="B124" s="62"/>
      <c r="C124" s="23">
        <v>94</v>
      </c>
      <c r="D124" s="23">
        <v>83</v>
      </c>
      <c r="E124" s="23">
        <v>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1:16" ht="14.25">
      <c r="A125" s="3" t="s">
        <v>41</v>
      </c>
      <c r="B125" s="62"/>
      <c r="C125" s="14">
        <f aca="true" t="shared" si="43" ref="C125:I125">IF(C124=0,0,C124+Preference_Factor2)</f>
        <v>94</v>
      </c>
      <c r="D125" s="14">
        <f t="shared" si="43"/>
        <v>83</v>
      </c>
      <c r="E125" s="14">
        <f t="shared" si="43"/>
        <v>85</v>
      </c>
      <c r="F125" s="14">
        <f t="shared" si="43"/>
        <v>0</v>
      </c>
      <c r="G125" s="14">
        <f t="shared" si="43"/>
        <v>0</v>
      </c>
      <c r="H125" s="14">
        <f t="shared" si="43"/>
        <v>0</v>
      </c>
      <c r="I125" s="14">
        <f t="shared" si="43"/>
        <v>0</v>
      </c>
      <c r="J125" s="14">
        <f aca="true" t="shared" si="44" ref="J125:P125">IF(J124=0,0,J124+Preference_Factor2)</f>
        <v>0</v>
      </c>
      <c r="K125" s="14">
        <f t="shared" si="44"/>
        <v>0</v>
      </c>
      <c r="L125" s="14">
        <f t="shared" si="44"/>
        <v>0</v>
      </c>
      <c r="M125" s="14">
        <f t="shared" si="44"/>
        <v>0</v>
      </c>
      <c r="N125" s="14">
        <f t="shared" si="44"/>
        <v>0</v>
      </c>
      <c r="O125" s="14">
        <f t="shared" si="44"/>
        <v>0</v>
      </c>
      <c r="P125" s="14">
        <f t="shared" si="44"/>
        <v>0</v>
      </c>
    </row>
    <row r="126" spans="1:16" ht="14.25">
      <c r="A126" s="6" t="s">
        <v>12</v>
      </c>
      <c r="B126" s="62"/>
      <c r="C126" s="28">
        <f aca="true" t="shared" si="45" ref="C126:I126">RANK(C125,Rater1B,0)+((COUNT(Rater1B)+1-RANK(C125,Rater1B,0)-RANK(C125,Rater1B,1))/2)</f>
        <v>1</v>
      </c>
      <c r="D126" s="28">
        <f t="shared" si="45"/>
        <v>3</v>
      </c>
      <c r="E126" s="28">
        <f t="shared" si="45"/>
        <v>2</v>
      </c>
      <c r="F126" s="28">
        <f t="shared" si="45"/>
        <v>9</v>
      </c>
      <c r="G126" s="28">
        <f t="shared" si="45"/>
        <v>9</v>
      </c>
      <c r="H126" s="28">
        <f t="shared" si="45"/>
        <v>9</v>
      </c>
      <c r="I126" s="28">
        <f t="shared" si="45"/>
        <v>9</v>
      </c>
      <c r="J126" s="28">
        <f aca="true" t="shared" si="46" ref="J126:P126">RANK(J125,Rater1B,0)+((COUNT(Rater1B)+1-RANK(J125,Rater1B,0)-RANK(J125,Rater1B,1))/2)</f>
        <v>9</v>
      </c>
      <c r="K126" s="28">
        <f t="shared" si="46"/>
        <v>9</v>
      </c>
      <c r="L126" s="28">
        <f t="shared" si="46"/>
        <v>9</v>
      </c>
      <c r="M126" s="28">
        <f t="shared" si="46"/>
        <v>9</v>
      </c>
      <c r="N126" s="28">
        <f t="shared" si="46"/>
        <v>9</v>
      </c>
      <c r="O126" s="28">
        <f t="shared" si="46"/>
        <v>9</v>
      </c>
      <c r="P126" s="28">
        <f t="shared" si="46"/>
        <v>9</v>
      </c>
    </row>
    <row r="127" spans="1:6" ht="14.25">
      <c r="A127" s="6"/>
      <c r="B127" s="62"/>
      <c r="C127" s="6"/>
      <c r="D127" s="6"/>
      <c r="E127" s="18"/>
      <c r="F127" s="6"/>
    </row>
    <row r="128" spans="1:6" ht="15">
      <c r="A128" s="9" t="s">
        <v>2</v>
      </c>
      <c r="B128" s="62" t="b">
        <v>1</v>
      </c>
      <c r="C128" s="6"/>
      <c r="D128" s="6"/>
      <c r="E128" s="18"/>
      <c r="F128" s="6"/>
    </row>
    <row r="129" spans="1:16" ht="15">
      <c r="A129" s="6" t="s">
        <v>15</v>
      </c>
      <c r="B129" s="62"/>
      <c r="C129" s="23">
        <v>91</v>
      </c>
      <c r="D129" s="23">
        <v>88</v>
      </c>
      <c r="E129" s="23">
        <v>93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</row>
    <row r="130" spans="1:16" ht="14.25">
      <c r="A130" s="3" t="s">
        <v>41</v>
      </c>
      <c r="B130" s="62"/>
      <c r="C130" s="14">
        <f aca="true" t="shared" si="47" ref="C130:I130">IF(C129=0,0,C129+Preference_Factor2)</f>
        <v>91</v>
      </c>
      <c r="D130" s="14">
        <f t="shared" si="47"/>
        <v>88</v>
      </c>
      <c r="E130" s="14">
        <f t="shared" si="47"/>
        <v>93</v>
      </c>
      <c r="F130" s="14">
        <f t="shared" si="47"/>
        <v>0</v>
      </c>
      <c r="G130" s="14">
        <f t="shared" si="47"/>
        <v>0</v>
      </c>
      <c r="H130" s="14">
        <f t="shared" si="47"/>
        <v>0</v>
      </c>
      <c r="I130" s="14">
        <f t="shared" si="47"/>
        <v>0</v>
      </c>
      <c r="J130" s="14">
        <f aca="true" t="shared" si="48" ref="J130:P130">IF(J129=0,0,J129+Preference_Factor2)</f>
        <v>0</v>
      </c>
      <c r="K130" s="14">
        <f t="shared" si="48"/>
        <v>0</v>
      </c>
      <c r="L130" s="14">
        <f t="shared" si="48"/>
        <v>0</v>
      </c>
      <c r="M130" s="14">
        <f t="shared" si="48"/>
        <v>0</v>
      </c>
      <c r="N130" s="14">
        <f t="shared" si="48"/>
        <v>0</v>
      </c>
      <c r="O130" s="14">
        <f t="shared" si="48"/>
        <v>0</v>
      </c>
      <c r="P130" s="14">
        <f t="shared" si="48"/>
        <v>0</v>
      </c>
    </row>
    <row r="131" spans="1:16" ht="14.25">
      <c r="A131" s="6" t="s">
        <v>12</v>
      </c>
      <c r="B131" s="62"/>
      <c r="C131" s="28">
        <f aca="true" t="shared" si="49" ref="C131:I131">RANK(C130,Rater2B,0)+((COUNT(Rater2B)+1-RANK(C130,Rater2B,0)-RANK(C130,Rater2B,1))/2)</f>
        <v>2</v>
      </c>
      <c r="D131" s="28">
        <f t="shared" si="49"/>
        <v>3</v>
      </c>
      <c r="E131" s="28">
        <f t="shared" si="49"/>
        <v>1</v>
      </c>
      <c r="F131" s="28">
        <f t="shared" si="49"/>
        <v>9</v>
      </c>
      <c r="G131" s="28">
        <f t="shared" si="49"/>
        <v>9</v>
      </c>
      <c r="H131" s="28">
        <f t="shared" si="49"/>
        <v>9</v>
      </c>
      <c r="I131" s="28">
        <f t="shared" si="49"/>
        <v>9</v>
      </c>
      <c r="J131" s="28">
        <f aca="true" t="shared" si="50" ref="J131:P131">RANK(J130,Rater2B,0)+((COUNT(Rater2B)+1-RANK(J130,Rater2B,0)-RANK(J130,Rater2B,1))/2)</f>
        <v>9</v>
      </c>
      <c r="K131" s="28">
        <f t="shared" si="50"/>
        <v>9</v>
      </c>
      <c r="L131" s="28">
        <f t="shared" si="50"/>
        <v>9</v>
      </c>
      <c r="M131" s="28">
        <f t="shared" si="50"/>
        <v>9</v>
      </c>
      <c r="N131" s="28">
        <f t="shared" si="50"/>
        <v>9</v>
      </c>
      <c r="O131" s="28">
        <f t="shared" si="50"/>
        <v>9</v>
      </c>
      <c r="P131" s="28">
        <f t="shared" si="50"/>
        <v>9</v>
      </c>
    </row>
    <row r="132" spans="1:6" ht="14.25">
      <c r="A132" s="6"/>
      <c r="B132" s="62"/>
      <c r="C132" s="6"/>
      <c r="D132" s="6"/>
      <c r="E132" s="18"/>
      <c r="F132" s="6"/>
    </row>
    <row r="133" spans="1:6" ht="15">
      <c r="A133" s="9" t="s">
        <v>5</v>
      </c>
      <c r="B133" s="62" t="b">
        <v>1</v>
      </c>
      <c r="C133" s="6"/>
      <c r="D133" s="6"/>
      <c r="E133" s="18"/>
      <c r="F133" s="6"/>
    </row>
    <row r="134" spans="1:16" ht="15">
      <c r="A134" s="6" t="s">
        <v>15</v>
      </c>
      <c r="B134" s="62"/>
      <c r="C134" s="23">
        <v>86</v>
      </c>
      <c r="D134" s="23">
        <v>74</v>
      </c>
      <c r="E134" s="23">
        <v>81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1:16" ht="14.25">
      <c r="A135" s="3" t="s">
        <v>41</v>
      </c>
      <c r="B135" s="62"/>
      <c r="C135" s="14">
        <f aca="true" t="shared" si="51" ref="C135:I135">IF(C134=0,0,C134+Preference_Factor2)</f>
        <v>86</v>
      </c>
      <c r="D135" s="14">
        <f t="shared" si="51"/>
        <v>74</v>
      </c>
      <c r="E135" s="14">
        <f t="shared" si="51"/>
        <v>81</v>
      </c>
      <c r="F135" s="14">
        <f t="shared" si="51"/>
        <v>0</v>
      </c>
      <c r="G135" s="14">
        <f t="shared" si="51"/>
        <v>0</v>
      </c>
      <c r="H135" s="14">
        <f t="shared" si="51"/>
        <v>0</v>
      </c>
      <c r="I135" s="14">
        <f t="shared" si="51"/>
        <v>0</v>
      </c>
      <c r="J135" s="14">
        <f aca="true" t="shared" si="52" ref="J135:P135">IF(J134=0,0,J134+Preference_Factor2)</f>
        <v>0</v>
      </c>
      <c r="K135" s="14">
        <f t="shared" si="52"/>
        <v>0</v>
      </c>
      <c r="L135" s="14">
        <f t="shared" si="52"/>
        <v>0</v>
      </c>
      <c r="M135" s="14">
        <f t="shared" si="52"/>
        <v>0</v>
      </c>
      <c r="N135" s="14">
        <f t="shared" si="52"/>
        <v>0</v>
      </c>
      <c r="O135" s="14">
        <f t="shared" si="52"/>
        <v>0</v>
      </c>
      <c r="P135" s="14">
        <f t="shared" si="52"/>
        <v>0</v>
      </c>
    </row>
    <row r="136" spans="1:16" ht="14.25">
      <c r="A136" s="6" t="s">
        <v>12</v>
      </c>
      <c r="B136" s="62"/>
      <c r="C136" s="28">
        <f aca="true" t="shared" si="53" ref="C136:I136">RANK(C135,Rater3B,0)+((COUNT(Rater3B)+1-RANK(C135,Rater3B,0)-RANK(C135,Rater3B,1))/2)</f>
        <v>1</v>
      </c>
      <c r="D136" s="28">
        <f t="shared" si="53"/>
        <v>3</v>
      </c>
      <c r="E136" s="28">
        <f t="shared" si="53"/>
        <v>2</v>
      </c>
      <c r="F136" s="28">
        <f t="shared" si="53"/>
        <v>9</v>
      </c>
      <c r="G136" s="28">
        <f t="shared" si="53"/>
        <v>9</v>
      </c>
      <c r="H136" s="28">
        <f t="shared" si="53"/>
        <v>9</v>
      </c>
      <c r="I136" s="28">
        <f t="shared" si="53"/>
        <v>9</v>
      </c>
      <c r="J136" s="28">
        <f aca="true" t="shared" si="54" ref="J136:P136">RANK(J135,Rater3B,0)+((COUNT(Rater3B)+1-RANK(J135,Rater3B,0)-RANK(J135,Rater3B,1))/2)</f>
        <v>9</v>
      </c>
      <c r="K136" s="28">
        <f t="shared" si="54"/>
        <v>9</v>
      </c>
      <c r="L136" s="28">
        <f t="shared" si="54"/>
        <v>9</v>
      </c>
      <c r="M136" s="28">
        <f t="shared" si="54"/>
        <v>9</v>
      </c>
      <c r="N136" s="28">
        <f t="shared" si="54"/>
        <v>9</v>
      </c>
      <c r="O136" s="28">
        <f t="shared" si="54"/>
        <v>9</v>
      </c>
      <c r="P136" s="28">
        <f t="shared" si="54"/>
        <v>9</v>
      </c>
    </row>
    <row r="137" spans="1:6" ht="15">
      <c r="A137" s="6"/>
      <c r="B137" s="62"/>
      <c r="C137" s="6"/>
      <c r="D137" s="6"/>
      <c r="E137" s="18"/>
      <c r="F137" s="6"/>
    </row>
    <row r="138" spans="1:6" ht="15">
      <c r="A138" s="9" t="s">
        <v>7</v>
      </c>
      <c r="B138" s="62" t="b">
        <v>1</v>
      </c>
      <c r="C138" s="6"/>
      <c r="D138" s="6"/>
      <c r="E138" s="18"/>
      <c r="F138" s="6"/>
    </row>
    <row r="139" spans="1:16" ht="15">
      <c r="A139" s="6" t="s">
        <v>15</v>
      </c>
      <c r="B139" s="62"/>
      <c r="C139" s="23">
        <v>97</v>
      </c>
      <c r="D139" s="23">
        <v>85</v>
      </c>
      <c r="E139" s="23">
        <v>88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1:16" ht="14.25">
      <c r="A140" s="3" t="s">
        <v>41</v>
      </c>
      <c r="B140" s="62"/>
      <c r="C140" s="14">
        <f aca="true" t="shared" si="55" ref="C140:I140">IF(C139=0,0,C139+Preference_Factor2)</f>
        <v>97</v>
      </c>
      <c r="D140" s="14">
        <f t="shared" si="55"/>
        <v>85</v>
      </c>
      <c r="E140" s="14">
        <f t="shared" si="55"/>
        <v>88</v>
      </c>
      <c r="F140" s="14">
        <f t="shared" si="55"/>
        <v>0</v>
      </c>
      <c r="G140" s="14">
        <f t="shared" si="55"/>
        <v>0</v>
      </c>
      <c r="H140" s="14">
        <f t="shared" si="55"/>
        <v>0</v>
      </c>
      <c r="I140" s="14">
        <f t="shared" si="55"/>
        <v>0</v>
      </c>
      <c r="J140" s="14">
        <f aca="true" t="shared" si="56" ref="J140:P140">IF(J139=0,0,J139+Preference_Factor2)</f>
        <v>0</v>
      </c>
      <c r="K140" s="14">
        <f t="shared" si="56"/>
        <v>0</v>
      </c>
      <c r="L140" s="14">
        <f t="shared" si="56"/>
        <v>0</v>
      </c>
      <c r="M140" s="14">
        <f t="shared" si="56"/>
        <v>0</v>
      </c>
      <c r="N140" s="14">
        <f t="shared" si="56"/>
        <v>0</v>
      </c>
      <c r="O140" s="14">
        <f t="shared" si="56"/>
        <v>0</v>
      </c>
      <c r="P140" s="14">
        <f t="shared" si="56"/>
        <v>0</v>
      </c>
    </row>
    <row r="141" spans="1:16" ht="14.25">
      <c r="A141" s="6" t="s">
        <v>12</v>
      </c>
      <c r="B141" s="62"/>
      <c r="C141" s="28">
        <f aca="true" t="shared" si="57" ref="C141:I141">RANK(C140,Rater4B,0)+((COUNT(Rater4B)+1-RANK(C140,Rater4B,0)-RANK(C140,Rater4B,1))/2)</f>
        <v>1</v>
      </c>
      <c r="D141" s="28">
        <f t="shared" si="57"/>
        <v>3</v>
      </c>
      <c r="E141" s="28">
        <f t="shared" si="57"/>
        <v>2</v>
      </c>
      <c r="F141" s="28">
        <f t="shared" si="57"/>
        <v>9</v>
      </c>
      <c r="G141" s="28">
        <f t="shared" si="57"/>
        <v>9</v>
      </c>
      <c r="H141" s="28">
        <f t="shared" si="57"/>
        <v>9</v>
      </c>
      <c r="I141" s="28">
        <f t="shared" si="57"/>
        <v>9</v>
      </c>
      <c r="J141" s="28">
        <f aca="true" t="shared" si="58" ref="J141:P141">RANK(J140,Rater4B,0)+((COUNT(Rater4B)+1-RANK(J140,Rater4B,0)-RANK(J140,Rater4B,1))/2)</f>
        <v>9</v>
      </c>
      <c r="K141" s="28">
        <f t="shared" si="58"/>
        <v>9</v>
      </c>
      <c r="L141" s="28">
        <f t="shared" si="58"/>
        <v>9</v>
      </c>
      <c r="M141" s="28">
        <f t="shared" si="58"/>
        <v>9</v>
      </c>
      <c r="N141" s="28">
        <f t="shared" si="58"/>
        <v>9</v>
      </c>
      <c r="O141" s="28">
        <f t="shared" si="58"/>
        <v>9</v>
      </c>
      <c r="P141" s="28">
        <f t="shared" si="58"/>
        <v>9</v>
      </c>
    </row>
    <row r="142" spans="1:6" ht="15">
      <c r="A142" s="6"/>
      <c r="B142" s="62"/>
      <c r="C142" s="6"/>
      <c r="D142" s="6"/>
      <c r="E142" s="18"/>
      <c r="F142" s="6"/>
    </row>
    <row r="143" spans="1:6" ht="15">
      <c r="A143" s="9" t="s">
        <v>78</v>
      </c>
      <c r="B143" s="62" t="b">
        <v>0</v>
      </c>
      <c r="C143" s="6"/>
      <c r="D143" s="6"/>
      <c r="E143" s="18"/>
      <c r="F143" s="6"/>
    </row>
    <row r="144" spans="1:16" ht="15">
      <c r="A144" s="6" t="s">
        <v>15</v>
      </c>
      <c r="B144" s="6"/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1:16" ht="14.25">
      <c r="A145" s="3" t="s">
        <v>41</v>
      </c>
      <c r="B145" s="6"/>
      <c r="C145" s="14">
        <f aca="true" t="shared" si="59" ref="C145:H145">IF(C144=0,0,C144+Preference_Factor2)</f>
        <v>0</v>
      </c>
      <c r="D145" s="14">
        <f t="shared" si="59"/>
        <v>0</v>
      </c>
      <c r="E145" s="14">
        <f t="shared" si="59"/>
        <v>0</v>
      </c>
      <c r="F145" s="14">
        <f t="shared" si="59"/>
        <v>0</v>
      </c>
      <c r="G145" s="14">
        <f t="shared" si="59"/>
        <v>0</v>
      </c>
      <c r="H145" s="14">
        <f t="shared" si="59"/>
        <v>0</v>
      </c>
      <c r="I145" s="14">
        <f aca="true" t="shared" si="60" ref="I145:P145">IF(I144=0,0,I144+Preference_Factor2)</f>
        <v>0</v>
      </c>
      <c r="J145" s="14">
        <f t="shared" si="60"/>
        <v>0</v>
      </c>
      <c r="K145" s="14">
        <f t="shared" si="60"/>
        <v>0</v>
      </c>
      <c r="L145" s="14">
        <f t="shared" si="60"/>
        <v>0</v>
      </c>
      <c r="M145" s="14">
        <f t="shared" si="60"/>
        <v>0</v>
      </c>
      <c r="N145" s="14">
        <f t="shared" si="60"/>
        <v>0</v>
      </c>
      <c r="O145" s="14">
        <f t="shared" si="60"/>
        <v>0</v>
      </c>
      <c r="P145" s="14">
        <f t="shared" si="60"/>
        <v>0</v>
      </c>
    </row>
    <row r="146" spans="1:16" ht="14.25">
      <c r="A146" s="6" t="s">
        <v>12</v>
      </c>
      <c r="B146" s="6"/>
      <c r="C146" s="28">
        <f aca="true" t="shared" si="61" ref="C146:P146">RANK(C145,Rater5B,0)+((COUNT(Rater5B)+1-RANK(C145,Rater5B,0)-RANK(C145,Rater5B,1))/2)</f>
        <v>7.5</v>
      </c>
      <c r="D146" s="28">
        <f t="shared" si="61"/>
        <v>7.5</v>
      </c>
      <c r="E146" s="28">
        <f t="shared" si="61"/>
        <v>7.5</v>
      </c>
      <c r="F146" s="28">
        <f t="shared" si="61"/>
        <v>7.5</v>
      </c>
      <c r="G146" s="28">
        <f t="shared" si="61"/>
        <v>7.5</v>
      </c>
      <c r="H146" s="28">
        <f t="shared" si="61"/>
        <v>7.5</v>
      </c>
      <c r="I146" s="28">
        <f t="shared" si="61"/>
        <v>7.5</v>
      </c>
      <c r="J146" s="28">
        <f t="shared" si="61"/>
        <v>7.5</v>
      </c>
      <c r="K146" s="28">
        <f t="shared" si="61"/>
        <v>7.5</v>
      </c>
      <c r="L146" s="28">
        <f t="shared" si="61"/>
        <v>7.5</v>
      </c>
      <c r="M146" s="28">
        <f t="shared" si="61"/>
        <v>7.5</v>
      </c>
      <c r="N146" s="28">
        <f t="shared" si="61"/>
        <v>7.5</v>
      </c>
      <c r="O146" s="28">
        <f t="shared" si="61"/>
        <v>7.5</v>
      </c>
      <c r="P146" s="28">
        <f t="shared" si="61"/>
        <v>7.5</v>
      </c>
    </row>
    <row r="147" spans="1:6" ht="14.25">
      <c r="A147" s="6"/>
      <c r="B147" s="6"/>
      <c r="C147" s="6"/>
      <c r="D147" s="6"/>
      <c r="E147" s="18"/>
      <c r="F147" s="6"/>
    </row>
    <row r="148" spans="1:5" ht="14.25">
      <c r="A148" t="s">
        <v>100</v>
      </c>
      <c r="B148" s="61">
        <f>COUNTIF(B123:B143,TRUE)</f>
        <v>4</v>
      </c>
      <c r="E148" s="18"/>
    </row>
    <row r="149" spans="2:5" ht="14.25">
      <c r="B149" s="61"/>
      <c r="E149" s="18"/>
    </row>
    <row r="150" spans="2:5" ht="14.25">
      <c r="B150" s="61"/>
      <c r="E150" s="18"/>
    </row>
    <row r="151" spans="2:5" ht="14.25">
      <c r="B151" s="61"/>
      <c r="E151" s="18"/>
    </row>
    <row r="152" spans="2:5" ht="14.25">
      <c r="B152" s="61"/>
      <c r="E152" s="18"/>
    </row>
    <row r="153" spans="2:5" ht="14.25">
      <c r="B153" s="61"/>
      <c r="E153" s="18"/>
    </row>
    <row r="154" spans="2:5" ht="14.25">
      <c r="B154" s="61"/>
      <c r="E154" s="18"/>
    </row>
    <row r="155" spans="2:5" ht="14.25">
      <c r="B155" s="61"/>
      <c r="E155" s="18"/>
    </row>
    <row r="156" spans="2:5" ht="14.25">
      <c r="B156" s="61"/>
      <c r="E156" s="18"/>
    </row>
    <row r="157" spans="2:5" ht="14.25">
      <c r="B157" s="61"/>
      <c r="E157" s="18"/>
    </row>
    <row r="158" spans="2:5" ht="14.25">
      <c r="B158" s="61"/>
      <c r="E158" s="18"/>
    </row>
    <row r="159" spans="2:5" ht="14.25">
      <c r="B159" s="61"/>
      <c r="E159" s="18"/>
    </row>
    <row r="160" spans="2:5" ht="14.25">
      <c r="B160" s="61"/>
      <c r="E160" s="18"/>
    </row>
    <row r="161" spans="2:5" ht="14.25">
      <c r="B161" s="61"/>
      <c r="E161" s="18"/>
    </row>
    <row r="162" spans="2:5" ht="14.25">
      <c r="B162" s="61"/>
      <c r="E162" s="18"/>
    </row>
    <row r="163" spans="2:5" ht="14.25">
      <c r="B163" s="61"/>
      <c r="E163" s="18"/>
    </row>
    <row r="164" spans="2:5" ht="14.25">
      <c r="B164" s="61"/>
      <c r="E164" s="18"/>
    </row>
    <row r="165" spans="2:5" ht="14.25">
      <c r="B165" s="61"/>
      <c r="E165" s="18"/>
    </row>
    <row r="166" spans="2:5" ht="14.25">
      <c r="B166" s="61"/>
      <c r="E166" s="18"/>
    </row>
    <row r="167" spans="2:5" ht="14.25">
      <c r="B167" s="61"/>
      <c r="E167" s="18"/>
    </row>
    <row r="168" spans="2:5" ht="14.25">
      <c r="B168" s="61"/>
      <c r="E168" s="18"/>
    </row>
    <row r="169" spans="2:5" ht="14.25">
      <c r="B169" s="61"/>
      <c r="E169" s="18"/>
    </row>
    <row r="170" spans="2:5" ht="14.25">
      <c r="B170" s="61"/>
      <c r="E170" s="18"/>
    </row>
    <row r="171" spans="2:5" ht="14.25">
      <c r="B171" s="61"/>
      <c r="E171" s="18"/>
    </row>
    <row r="172" spans="2:5" ht="14.25">
      <c r="B172" s="61"/>
      <c r="E172" s="18"/>
    </row>
    <row r="173" spans="2:5" ht="14.25">
      <c r="B173" s="61"/>
      <c r="E173" s="18"/>
    </row>
    <row r="174" spans="2:5" ht="14.25">
      <c r="B174" s="61"/>
      <c r="E174" s="18"/>
    </row>
    <row r="175" spans="2:5" ht="14.25">
      <c r="B175" s="61"/>
      <c r="E175" s="18"/>
    </row>
    <row r="176" spans="2:5" ht="14.25">
      <c r="B176" s="61"/>
      <c r="E176" s="18"/>
    </row>
    <row r="177" spans="2:5" ht="14.25">
      <c r="B177" s="61"/>
      <c r="E177" s="18"/>
    </row>
    <row r="178" spans="2:5" ht="14.25">
      <c r="B178" s="61"/>
      <c r="E178" s="18"/>
    </row>
    <row r="179" spans="2:5" ht="14.25">
      <c r="B179" s="61"/>
      <c r="E179" s="18"/>
    </row>
    <row r="180" spans="2:5" ht="14.25">
      <c r="B180" s="61"/>
      <c r="E180" s="18"/>
    </row>
    <row r="181" spans="2:5" ht="14.25">
      <c r="B181" s="61"/>
      <c r="E181" s="18"/>
    </row>
    <row r="182" spans="2:5" ht="14.25">
      <c r="B182" s="61"/>
      <c r="E182" s="18"/>
    </row>
    <row r="183" spans="2:5" ht="14.25">
      <c r="B183" s="61"/>
      <c r="E183" s="18"/>
    </row>
    <row r="184" spans="2:5" ht="14.25">
      <c r="B184" s="61"/>
      <c r="E184" s="18"/>
    </row>
    <row r="185" spans="1:16" ht="28.5">
      <c r="A185" t="s">
        <v>101</v>
      </c>
      <c r="B185" s="61">
        <f>COUNTA(D185:P185)</f>
        <v>10</v>
      </c>
      <c r="C185" s="58" t="s">
        <v>111</v>
      </c>
      <c r="D185" s="58" t="s">
        <v>110</v>
      </c>
      <c r="E185" s="58" t="s">
        <v>109</v>
      </c>
      <c r="F185" s="58" t="s">
        <v>112</v>
      </c>
      <c r="G185" s="58" t="s">
        <v>113</v>
      </c>
      <c r="I185" s="58"/>
      <c r="J185" s="58"/>
      <c r="K185" s="58" t="s">
        <v>83</v>
      </c>
      <c r="L185" s="58" t="s">
        <v>84</v>
      </c>
      <c r="M185" s="58" t="s">
        <v>85</v>
      </c>
      <c r="N185" s="58" t="s">
        <v>86</v>
      </c>
      <c r="O185" s="58" t="s">
        <v>87</v>
      </c>
      <c r="P185" s="58" t="s">
        <v>88</v>
      </c>
    </row>
    <row r="186" spans="2:5" ht="14.25">
      <c r="B186" s="61"/>
      <c r="E186" s="18"/>
    </row>
    <row r="187" spans="1:16" ht="14.25">
      <c r="A187" s="15"/>
      <c r="B187" s="15" t="s">
        <v>102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9" spans="1:16" ht="14.25">
      <c r="A189" t="s">
        <v>0</v>
      </c>
      <c r="C189" s="14">
        <f aca="true" t="shared" si="62" ref="C189:P189">IF(Rater_1B=TRUE,C126,0)</f>
        <v>1</v>
      </c>
      <c r="D189" s="14">
        <f t="shared" si="62"/>
        <v>3</v>
      </c>
      <c r="E189" s="14">
        <f t="shared" si="62"/>
        <v>2</v>
      </c>
      <c r="F189" s="14">
        <f t="shared" si="62"/>
        <v>9</v>
      </c>
      <c r="G189" s="14">
        <f t="shared" si="62"/>
        <v>9</v>
      </c>
      <c r="H189" s="14">
        <f t="shared" si="62"/>
        <v>9</v>
      </c>
      <c r="I189" s="14">
        <f t="shared" si="62"/>
        <v>9</v>
      </c>
      <c r="J189" s="14">
        <f t="shared" si="62"/>
        <v>9</v>
      </c>
      <c r="K189" s="14">
        <f t="shared" si="62"/>
        <v>9</v>
      </c>
      <c r="L189" s="14">
        <f t="shared" si="62"/>
        <v>9</v>
      </c>
      <c r="M189" s="14">
        <f t="shared" si="62"/>
        <v>9</v>
      </c>
      <c r="N189" s="14">
        <f t="shared" si="62"/>
        <v>9</v>
      </c>
      <c r="O189" s="14">
        <f t="shared" si="62"/>
        <v>9</v>
      </c>
      <c r="P189" s="14">
        <f t="shared" si="62"/>
        <v>9</v>
      </c>
    </row>
    <row r="190" spans="1:16" ht="14.25">
      <c r="A190" t="s">
        <v>2</v>
      </c>
      <c r="C190" s="14">
        <f aca="true" t="shared" si="63" ref="C190:P190">IF(Rater_2B=TRUE,C131,0)</f>
        <v>2</v>
      </c>
      <c r="D190" s="14">
        <f t="shared" si="63"/>
        <v>3</v>
      </c>
      <c r="E190" s="14">
        <f t="shared" si="63"/>
        <v>1</v>
      </c>
      <c r="F190" s="14">
        <f t="shared" si="63"/>
        <v>9</v>
      </c>
      <c r="G190" s="14">
        <f t="shared" si="63"/>
        <v>9</v>
      </c>
      <c r="H190" s="14">
        <f t="shared" si="63"/>
        <v>9</v>
      </c>
      <c r="I190" s="14">
        <f t="shared" si="63"/>
        <v>9</v>
      </c>
      <c r="J190" s="14">
        <f t="shared" si="63"/>
        <v>9</v>
      </c>
      <c r="K190" s="14">
        <f t="shared" si="63"/>
        <v>9</v>
      </c>
      <c r="L190" s="14">
        <f t="shared" si="63"/>
        <v>9</v>
      </c>
      <c r="M190" s="14">
        <f t="shared" si="63"/>
        <v>9</v>
      </c>
      <c r="N190" s="14">
        <f t="shared" si="63"/>
        <v>9</v>
      </c>
      <c r="O190" s="14">
        <f t="shared" si="63"/>
        <v>9</v>
      </c>
      <c r="P190" s="14">
        <f t="shared" si="63"/>
        <v>9</v>
      </c>
    </row>
    <row r="191" spans="1:16" ht="14.25">
      <c r="A191" t="s">
        <v>5</v>
      </c>
      <c r="C191" s="14">
        <f aca="true" t="shared" si="64" ref="C191:P191">IF(Rater_3B=TRUE,C136,0)</f>
        <v>1</v>
      </c>
      <c r="D191" s="14">
        <f t="shared" si="64"/>
        <v>3</v>
      </c>
      <c r="E191" s="14">
        <f t="shared" si="64"/>
        <v>2</v>
      </c>
      <c r="F191" s="14">
        <f t="shared" si="64"/>
        <v>9</v>
      </c>
      <c r="G191" s="14">
        <f t="shared" si="64"/>
        <v>9</v>
      </c>
      <c r="H191" s="14">
        <f t="shared" si="64"/>
        <v>9</v>
      </c>
      <c r="I191" s="14">
        <f t="shared" si="64"/>
        <v>9</v>
      </c>
      <c r="J191" s="14">
        <f t="shared" si="64"/>
        <v>9</v>
      </c>
      <c r="K191" s="14">
        <f t="shared" si="64"/>
        <v>9</v>
      </c>
      <c r="L191" s="14">
        <f t="shared" si="64"/>
        <v>9</v>
      </c>
      <c r="M191" s="14">
        <f t="shared" si="64"/>
        <v>9</v>
      </c>
      <c r="N191" s="14">
        <f t="shared" si="64"/>
        <v>9</v>
      </c>
      <c r="O191" s="14">
        <f t="shared" si="64"/>
        <v>9</v>
      </c>
      <c r="P191" s="14">
        <f t="shared" si="64"/>
        <v>9</v>
      </c>
    </row>
    <row r="192" spans="1:16" ht="14.25">
      <c r="A192" t="s">
        <v>7</v>
      </c>
      <c r="C192" s="14">
        <f aca="true" t="shared" si="65" ref="C192:P192">IF(Rater_4B=TRUE,C141,0)</f>
        <v>1</v>
      </c>
      <c r="D192" s="14">
        <f t="shared" si="65"/>
        <v>3</v>
      </c>
      <c r="E192" s="14">
        <f t="shared" si="65"/>
        <v>2</v>
      </c>
      <c r="F192" s="14">
        <f t="shared" si="65"/>
        <v>9</v>
      </c>
      <c r="G192" s="14">
        <f t="shared" si="65"/>
        <v>9</v>
      </c>
      <c r="H192" s="14">
        <f t="shared" si="65"/>
        <v>9</v>
      </c>
      <c r="I192" s="14">
        <f t="shared" si="65"/>
        <v>9</v>
      </c>
      <c r="J192" s="14">
        <f t="shared" si="65"/>
        <v>9</v>
      </c>
      <c r="K192" s="14">
        <f t="shared" si="65"/>
        <v>9</v>
      </c>
      <c r="L192" s="14">
        <f t="shared" si="65"/>
        <v>9</v>
      </c>
      <c r="M192" s="14">
        <f t="shared" si="65"/>
        <v>9</v>
      </c>
      <c r="N192" s="14">
        <f t="shared" si="65"/>
        <v>9</v>
      </c>
      <c r="O192" s="14">
        <f t="shared" si="65"/>
        <v>9</v>
      </c>
      <c r="P192" s="14">
        <f t="shared" si="65"/>
        <v>9</v>
      </c>
    </row>
    <row r="193" spans="1:16" ht="14.25">
      <c r="A193" t="s">
        <v>78</v>
      </c>
      <c r="C193" s="14">
        <f aca="true" t="shared" si="66" ref="C193:P193">IF(Rater_5B=TRUE,C146,0)</f>
        <v>0</v>
      </c>
      <c r="D193" s="14">
        <f t="shared" si="66"/>
        <v>0</v>
      </c>
      <c r="E193" s="14">
        <f t="shared" si="66"/>
        <v>0</v>
      </c>
      <c r="F193" s="14">
        <f t="shared" si="66"/>
        <v>0</v>
      </c>
      <c r="G193" s="14">
        <f t="shared" si="66"/>
        <v>0</v>
      </c>
      <c r="H193" s="14">
        <f t="shared" si="66"/>
        <v>0</v>
      </c>
      <c r="I193" s="14">
        <f t="shared" si="66"/>
        <v>0</v>
      </c>
      <c r="J193" s="14">
        <f t="shared" si="66"/>
        <v>0</v>
      </c>
      <c r="K193" s="14">
        <f t="shared" si="66"/>
        <v>0</v>
      </c>
      <c r="L193" s="14">
        <f t="shared" si="66"/>
        <v>0</v>
      </c>
      <c r="M193" s="14">
        <f t="shared" si="66"/>
        <v>0</v>
      </c>
      <c r="N193" s="14">
        <f t="shared" si="66"/>
        <v>0</v>
      </c>
      <c r="O193" s="14">
        <f t="shared" si="66"/>
        <v>0</v>
      </c>
      <c r="P193" s="14">
        <f t="shared" si="66"/>
        <v>0</v>
      </c>
    </row>
    <row r="194" ht="14.25">
      <c r="E194" s="6"/>
    </row>
    <row r="195" spans="1:16" ht="14.25">
      <c r="A195" s="6"/>
      <c r="B195" s="9" t="s">
        <v>16</v>
      </c>
      <c r="C195" s="29">
        <f>SUM(C189:C193)</f>
        <v>5</v>
      </c>
      <c r="D195" s="29">
        <f aca="true" t="shared" si="67" ref="D195:P195">SUM(D189:D193)</f>
        <v>12</v>
      </c>
      <c r="E195" s="29">
        <f t="shared" si="67"/>
        <v>7</v>
      </c>
      <c r="F195" s="29">
        <f t="shared" si="67"/>
        <v>36</v>
      </c>
      <c r="G195" s="29">
        <f t="shared" si="67"/>
        <v>36</v>
      </c>
      <c r="H195" s="29">
        <f t="shared" si="67"/>
        <v>36</v>
      </c>
      <c r="I195" s="29">
        <f t="shared" si="67"/>
        <v>36</v>
      </c>
      <c r="J195" s="29">
        <f t="shared" si="67"/>
        <v>36</v>
      </c>
      <c r="K195" s="29">
        <f t="shared" si="67"/>
        <v>36</v>
      </c>
      <c r="L195" s="29">
        <f t="shared" si="67"/>
        <v>36</v>
      </c>
      <c r="M195" s="29">
        <f t="shared" si="67"/>
        <v>36</v>
      </c>
      <c r="N195" s="29">
        <f t="shared" si="67"/>
        <v>36</v>
      </c>
      <c r="O195" s="29">
        <f t="shared" si="67"/>
        <v>36</v>
      </c>
      <c r="P195" s="29">
        <f t="shared" si="67"/>
        <v>36</v>
      </c>
    </row>
    <row r="196" spans="3:6" ht="14.25">
      <c r="C196" s="24"/>
      <c r="D196" s="24"/>
      <c r="E196" s="25"/>
      <c r="F196" s="24"/>
    </row>
    <row r="197" spans="1:16" ht="14.25">
      <c r="A197" s="1" t="s">
        <v>31</v>
      </c>
      <c r="B197" s="1"/>
      <c r="C197" s="29">
        <f aca="true" t="shared" si="68" ref="C197:P197">RANK(C195,Interview_rank,1)+((COUNT(Interview_rank)+1-RANK(C195,Interview_rank,0)-RANK(C195,Interview_rank,1))/2)</f>
        <v>1</v>
      </c>
      <c r="D197" s="29">
        <f t="shared" si="68"/>
        <v>3</v>
      </c>
      <c r="E197" s="29">
        <f t="shared" si="68"/>
        <v>2</v>
      </c>
      <c r="F197" s="29">
        <f t="shared" si="68"/>
        <v>9</v>
      </c>
      <c r="G197" s="29">
        <f t="shared" si="68"/>
        <v>9</v>
      </c>
      <c r="H197" s="29">
        <f t="shared" si="68"/>
        <v>9</v>
      </c>
      <c r="I197" s="29">
        <f t="shared" si="68"/>
        <v>9</v>
      </c>
      <c r="J197" s="29">
        <f t="shared" si="68"/>
        <v>9</v>
      </c>
      <c r="K197" s="29">
        <f t="shared" si="68"/>
        <v>9</v>
      </c>
      <c r="L197" s="29">
        <f t="shared" si="68"/>
        <v>9</v>
      </c>
      <c r="M197" s="29">
        <f t="shared" si="68"/>
        <v>9</v>
      </c>
      <c r="N197" s="29">
        <f t="shared" si="68"/>
        <v>9</v>
      </c>
      <c r="O197" s="29">
        <f t="shared" si="68"/>
        <v>9</v>
      </c>
      <c r="P197" s="29">
        <f t="shared" si="68"/>
        <v>9</v>
      </c>
    </row>
    <row r="198" ht="14.25">
      <c r="E198" s="6"/>
    </row>
    <row r="199" spans="1:16" ht="15" thickBot="1">
      <c r="A199" s="76" t="s">
        <v>34</v>
      </c>
      <c r="B199" s="76"/>
      <c r="C199" s="76"/>
      <c r="D199" s="76"/>
      <c r="E199" s="76"/>
      <c r="F199" s="76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4.25">
      <c r="A200" s="26" t="s">
        <v>23</v>
      </c>
      <c r="B200" s="26"/>
      <c r="C200" s="27">
        <f aca="true" t="shared" si="69" ref="C200:P200">C125+C130+C135+C140+C145</f>
        <v>368</v>
      </c>
      <c r="D200" s="27">
        <f t="shared" si="69"/>
        <v>330</v>
      </c>
      <c r="E200" s="27">
        <f t="shared" si="69"/>
        <v>347</v>
      </c>
      <c r="F200" s="27">
        <f t="shared" si="69"/>
        <v>0</v>
      </c>
      <c r="G200" s="27">
        <f t="shared" si="69"/>
        <v>0</v>
      </c>
      <c r="H200" s="27">
        <f t="shared" si="69"/>
        <v>0</v>
      </c>
      <c r="I200" s="27">
        <f t="shared" si="69"/>
        <v>0</v>
      </c>
      <c r="J200" s="27">
        <f t="shared" si="69"/>
        <v>0</v>
      </c>
      <c r="K200" s="27">
        <f t="shared" si="69"/>
        <v>0</v>
      </c>
      <c r="L200" s="27">
        <f t="shared" si="69"/>
        <v>0</v>
      </c>
      <c r="M200" s="27">
        <f t="shared" si="69"/>
        <v>0</v>
      </c>
      <c r="N200" s="27">
        <f t="shared" si="69"/>
        <v>0</v>
      </c>
      <c r="O200" s="27">
        <f t="shared" si="69"/>
        <v>0</v>
      </c>
      <c r="P200" s="27">
        <f t="shared" si="69"/>
        <v>0</v>
      </c>
    </row>
    <row r="201" spans="1:16" ht="14.25">
      <c r="A201" s="26" t="s">
        <v>25</v>
      </c>
      <c r="B201" s="26"/>
      <c r="C201" s="27">
        <f aca="true" t="shared" si="70" ref="C201:P201">RANK(C200,Total_score2,0)</f>
        <v>1</v>
      </c>
      <c r="D201" s="27">
        <f t="shared" si="70"/>
        <v>3</v>
      </c>
      <c r="E201" s="27">
        <f t="shared" si="70"/>
        <v>2</v>
      </c>
      <c r="F201" s="27">
        <f t="shared" si="70"/>
        <v>4</v>
      </c>
      <c r="G201" s="27">
        <f t="shared" si="70"/>
        <v>4</v>
      </c>
      <c r="H201" s="27">
        <f t="shared" si="70"/>
        <v>4</v>
      </c>
      <c r="I201" s="27">
        <f t="shared" si="70"/>
        <v>4</v>
      </c>
      <c r="J201" s="27">
        <f t="shared" si="70"/>
        <v>4</v>
      </c>
      <c r="K201" s="27">
        <f t="shared" si="70"/>
        <v>4</v>
      </c>
      <c r="L201" s="27">
        <f t="shared" si="70"/>
        <v>4</v>
      </c>
      <c r="M201" s="27">
        <f t="shared" si="70"/>
        <v>4</v>
      </c>
      <c r="N201" s="27">
        <f t="shared" si="70"/>
        <v>4</v>
      </c>
      <c r="O201" s="27">
        <f t="shared" si="70"/>
        <v>4</v>
      </c>
      <c r="P201" s="27">
        <f t="shared" si="70"/>
        <v>4</v>
      </c>
    </row>
    <row r="202" spans="1:16" ht="14.25">
      <c r="A202" s="26" t="s">
        <v>24</v>
      </c>
      <c r="B202" s="26"/>
      <c r="C202" s="27">
        <f aca="true" t="shared" si="71" ref="C202:P202">C200/Raters_int</f>
        <v>92</v>
      </c>
      <c r="D202" s="27">
        <f t="shared" si="71"/>
        <v>82.5</v>
      </c>
      <c r="E202" s="27">
        <f t="shared" si="71"/>
        <v>86.75</v>
      </c>
      <c r="F202" s="27">
        <f t="shared" si="71"/>
        <v>0</v>
      </c>
      <c r="G202" s="27">
        <f t="shared" si="71"/>
        <v>0</v>
      </c>
      <c r="H202" s="27">
        <f t="shared" si="71"/>
        <v>0</v>
      </c>
      <c r="I202" s="27">
        <f t="shared" si="71"/>
        <v>0</v>
      </c>
      <c r="J202" s="27">
        <f t="shared" si="71"/>
        <v>0</v>
      </c>
      <c r="K202" s="27">
        <f t="shared" si="71"/>
        <v>0</v>
      </c>
      <c r="L202" s="27">
        <f t="shared" si="71"/>
        <v>0</v>
      </c>
      <c r="M202" s="27">
        <f t="shared" si="71"/>
        <v>0</v>
      </c>
      <c r="N202" s="27">
        <f t="shared" si="71"/>
        <v>0</v>
      </c>
      <c r="O202" s="27">
        <f t="shared" si="71"/>
        <v>0</v>
      </c>
      <c r="P202" s="27">
        <f t="shared" si="71"/>
        <v>0</v>
      </c>
    </row>
    <row r="203" spans="1:16" ht="14.25">
      <c r="A203" s="26" t="s">
        <v>26</v>
      </c>
      <c r="B203" s="26"/>
      <c r="C203" s="27">
        <f aca="true" t="shared" si="72" ref="C203:P203">RANK(C202,AVG_Score2,0)</f>
        <v>1</v>
      </c>
      <c r="D203" s="27">
        <f t="shared" si="72"/>
        <v>3</v>
      </c>
      <c r="E203" s="27">
        <f t="shared" si="72"/>
        <v>2</v>
      </c>
      <c r="F203" s="27">
        <f t="shared" si="72"/>
        <v>4</v>
      </c>
      <c r="G203" s="27">
        <f t="shared" si="72"/>
        <v>4</v>
      </c>
      <c r="H203" s="27">
        <f t="shared" si="72"/>
        <v>4</v>
      </c>
      <c r="I203" s="27">
        <f t="shared" si="72"/>
        <v>4</v>
      </c>
      <c r="J203" s="27">
        <f t="shared" si="72"/>
        <v>4</v>
      </c>
      <c r="K203" s="27">
        <f t="shared" si="72"/>
        <v>4</v>
      </c>
      <c r="L203" s="27">
        <f t="shared" si="72"/>
        <v>4</v>
      </c>
      <c r="M203" s="27">
        <f t="shared" si="72"/>
        <v>4</v>
      </c>
      <c r="N203" s="27">
        <f t="shared" si="72"/>
        <v>4</v>
      </c>
      <c r="O203" s="27">
        <f t="shared" si="72"/>
        <v>4</v>
      </c>
      <c r="P203" s="27">
        <f t="shared" si="72"/>
        <v>4</v>
      </c>
    </row>
    <row r="205" spans="1:16" ht="15" thickBot="1">
      <c r="A205" s="76" t="s">
        <v>35</v>
      </c>
      <c r="B205" s="76"/>
      <c r="C205" s="76"/>
      <c r="D205" s="76"/>
      <c r="E205" s="76"/>
      <c r="F205" s="76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4.25">
      <c r="A206" s="26" t="s">
        <v>23</v>
      </c>
      <c r="B206" s="26"/>
      <c r="C206" s="27">
        <f aca="true" t="shared" si="73" ref="C206:P206">C74+C200</f>
        <v>725</v>
      </c>
      <c r="D206" s="27">
        <f t="shared" si="73"/>
        <v>689</v>
      </c>
      <c r="E206" s="27">
        <f t="shared" si="73"/>
        <v>692</v>
      </c>
      <c r="F206" s="27">
        <f t="shared" si="73"/>
        <v>313</v>
      </c>
      <c r="G206" s="27">
        <f t="shared" si="73"/>
        <v>340</v>
      </c>
      <c r="H206" s="27">
        <f t="shared" si="73"/>
        <v>0</v>
      </c>
      <c r="I206" s="27">
        <f t="shared" si="73"/>
        <v>0</v>
      </c>
      <c r="J206" s="27">
        <f t="shared" si="73"/>
        <v>0</v>
      </c>
      <c r="K206" s="27">
        <f t="shared" si="73"/>
        <v>0</v>
      </c>
      <c r="L206" s="27">
        <f t="shared" si="73"/>
        <v>0</v>
      </c>
      <c r="M206" s="27">
        <f t="shared" si="73"/>
        <v>0</v>
      </c>
      <c r="N206" s="27">
        <f t="shared" si="73"/>
        <v>0</v>
      </c>
      <c r="O206" s="27">
        <f t="shared" si="73"/>
        <v>0</v>
      </c>
      <c r="P206" s="27">
        <f t="shared" si="73"/>
        <v>0</v>
      </c>
    </row>
    <row r="207" spans="1:16" s="10" customFormat="1" ht="14.25">
      <c r="A207" s="26" t="s">
        <v>25</v>
      </c>
      <c r="B207" s="26"/>
      <c r="C207" s="27">
        <f aca="true" t="shared" si="74" ref="C207:P207">RANK(C206,Total_score3,0)</f>
        <v>1</v>
      </c>
      <c r="D207" s="27">
        <f t="shared" si="74"/>
        <v>3</v>
      </c>
      <c r="E207" s="27">
        <f t="shared" si="74"/>
        <v>2</v>
      </c>
      <c r="F207" s="27">
        <f t="shared" si="74"/>
        <v>5</v>
      </c>
      <c r="G207" s="27">
        <f t="shared" si="74"/>
        <v>4</v>
      </c>
      <c r="H207" s="27">
        <f t="shared" si="74"/>
        <v>6</v>
      </c>
      <c r="I207" s="27">
        <f t="shared" si="74"/>
        <v>6</v>
      </c>
      <c r="J207" s="27">
        <f t="shared" si="74"/>
        <v>6</v>
      </c>
      <c r="K207" s="27">
        <f t="shared" si="74"/>
        <v>6</v>
      </c>
      <c r="L207" s="27">
        <f t="shared" si="74"/>
        <v>6</v>
      </c>
      <c r="M207" s="27">
        <f t="shared" si="74"/>
        <v>6</v>
      </c>
      <c r="N207" s="27">
        <f t="shared" si="74"/>
        <v>6</v>
      </c>
      <c r="O207" s="27">
        <f t="shared" si="74"/>
        <v>6</v>
      </c>
      <c r="P207" s="27">
        <f t="shared" si="74"/>
        <v>6</v>
      </c>
    </row>
    <row r="208" spans="1:16" s="10" customFormat="1" ht="14.25">
      <c r="A208" s="26" t="s">
        <v>24</v>
      </c>
      <c r="B208" s="26"/>
      <c r="C208" s="27">
        <f aca="true" t="shared" si="75" ref="C208:P208">C206/((Raters+Raters_int)/2)</f>
        <v>181.25</v>
      </c>
      <c r="D208" s="27">
        <f t="shared" si="75"/>
        <v>172.25</v>
      </c>
      <c r="E208" s="27">
        <f t="shared" si="75"/>
        <v>173</v>
      </c>
      <c r="F208" s="27">
        <f t="shared" si="75"/>
        <v>78.25</v>
      </c>
      <c r="G208" s="27">
        <f t="shared" si="75"/>
        <v>85</v>
      </c>
      <c r="H208" s="27">
        <f t="shared" si="75"/>
        <v>0</v>
      </c>
      <c r="I208" s="27">
        <f t="shared" si="75"/>
        <v>0</v>
      </c>
      <c r="J208" s="27">
        <f t="shared" si="75"/>
        <v>0</v>
      </c>
      <c r="K208" s="27">
        <f t="shared" si="75"/>
        <v>0</v>
      </c>
      <c r="L208" s="27">
        <f t="shared" si="75"/>
        <v>0</v>
      </c>
      <c r="M208" s="27">
        <f t="shared" si="75"/>
        <v>0</v>
      </c>
      <c r="N208" s="27">
        <f t="shared" si="75"/>
        <v>0</v>
      </c>
      <c r="O208" s="27">
        <f t="shared" si="75"/>
        <v>0</v>
      </c>
      <c r="P208" s="27">
        <f t="shared" si="75"/>
        <v>0</v>
      </c>
    </row>
    <row r="209" spans="1:16" ht="14.25">
      <c r="A209" s="26" t="s">
        <v>26</v>
      </c>
      <c r="B209" s="26"/>
      <c r="C209" s="27">
        <f aca="true" t="shared" si="76" ref="C209:P209">RANK(C208,AVG_Score3,0)</f>
        <v>1</v>
      </c>
      <c r="D209" s="27">
        <f t="shared" si="76"/>
        <v>3</v>
      </c>
      <c r="E209" s="27">
        <f t="shared" si="76"/>
        <v>2</v>
      </c>
      <c r="F209" s="27">
        <f t="shared" si="76"/>
        <v>5</v>
      </c>
      <c r="G209" s="27">
        <f t="shared" si="76"/>
        <v>4</v>
      </c>
      <c r="H209" s="27">
        <f t="shared" si="76"/>
        <v>6</v>
      </c>
      <c r="I209" s="27">
        <f t="shared" si="76"/>
        <v>6</v>
      </c>
      <c r="J209" s="27">
        <f t="shared" si="76"/>
        <v>6</v>
      </c>
      <c r="K209" s="27">
        <f t="shared" si="76"/>
        <v>6</v>
      </c>
      <c r="L209" s="27">
        <f t="shared" si="76"/>
        <v>6</v>
      </c>
      <c r="M209" s="27">
        <f t="shared" si="76"/>
        <v>6</v>
      </c>
      <c r="N209" s="27">
        <f t="shared" si="76"/>
        <v>6</v>
      </c>
      <c r="O209" s="27">
        <f t="shared" si="76"/>
        <v>6</v>
      </c>
      <c r="P209" s="27">
        <f t="shared" si="76"/>
        <v>6</v>
      </c>
    </row>
    <row r="212" spans="1:7" ht="14.25">
      <c r="A212" s="75" t="s">
        <v>33</v>
      </c>
      <c r="B212" s="75"/>
      <c r="C212" s="75"/>
      <c r="D212" s="75"/>
      <c r="E212" s="75"/>
      <c r="F212" s="75"/>
      <c r="G212" s="75"/>
    </row>
    <row r="213" spans="1:16" ht="14.25">
      <c r="A213" s="10"/>
      <c r="B213" s="10"/>
      <c r="C213" s="10"/>
      <c r="D213" s="10"/>
      <c r="E213" s="10"/>
      <c r="F213" s="10"/>
      <c r="G213" s="10"/>
      <c r="H213" s="10"/>
      <c r="I213" s="10"/>
      <c r="J213" s="56"/>
      <c r="K213" s="56"/>
      <c r="L213" s="56"/>
      <c r="M213" s="56"/>
      <c r="N213" s="56"/>
      <c r="O213" s="56"/>
      <c r="P213" s="56"/>
    </row>
    <row r="214" spans="1:16" ht="14.25">
      <c r="A214" s="10"/>
      <c r="B214" s="10"/>
      <c r="C214" s="21" t="str">
        <f>IF(C71=TRUE,E6,"N/A")</f>
        <v>N/A</v>
      </c>
      <c r="D214" s="21" t="str">
        <f>IF(D71=TRUE,D6,"N/A")</f>
        <v>N/A</v>
      </c>
      <c r="E214" s="21" t="str">
        <f>IF(E71=TRUE,#REF!,"N/A")</f>
        <v>N/A</v>
      </c>
      <c r="F214" s="21" t="str">
        <f>IF(F71=TRUE,F6,"N/A")</f>
        <v>N/A</v>
      </c>
      <c r="G214" s="21" t="str">
        <f>IF(G71=TRUE,G6,"N/A")</f>
        <v>N/A</v>
      </c>
      <c r="H214" s="21" t="str">
        <f>IF(H71=TRUE,C6,"N/A")</f>
        <v>N/A</v>
      </c>
      <c r="I214" s="21" t="str">
        <f aca="true" t="shared" si="77" ref="I214:P214">IF(I71=TRUE,I6,"N/A")</f>
        <v>N/A</v>
      </c>
      <c r="J214" s="21" t="str">
        <f t="shared" si="77"/>
        <v>N/A</v>
      </c>
      <c r="K214" s="21" t="str">
        <f t="shared" si="77"/>
        <v>N/A</v>
      </c>
      <c r="L214" s="21" t="str">
        <f t="shared" si="77"/>
        <v>N/A</v>
      </c>
      <c r="M214" s="21" t="str">
        <f t="shared" si="77"/>
        <v>N/A</v>
      </c>
      <c r="N214" s="21" t="str">
        <f t="shared" si="77"/>
        <v>N/A</v>
      </c>
      <c r="O214" s="21" t="str">
        <f t="shared" si="77"/>
        <v>N/A</v>
      </c>
      <c r="P214" s="21" t="str">
        <f t="shared" si="77"/>
        <v>N/A</v>
      </c>
    </row>
    <row r="215" spans="1:6" ht="14.25">
      <c r="A215" s="9" t="s">
        <v>0</v>
      </c>
      <c r="B215" s="6"/>
      <c r="C215" s="6"/>
      <c r="D215" s="6"/>
      <c r="E215" s="6"/>
      <c r="F215" s="6"/>
    </row>
    <row r="216" spans="1:16" ht="14.25">
      <c r="A216" s="6" t="s">
        <v>15</v>
      </c>
      <c r="B216" s="6"/>
      <c r="C216" s="17">
        <f aca="true" t="shared" si="78" ref="C216:P216">C20+C125</f>
        <v>183</v>
      </c>
      <c r="D216" s="17">
        <f t="shared" si="78"/>
        <v>177</v>
      </c>
      <c r="E216" s="17">
        <f t="shared" si="78"/>
        <v>175</v>
      </c>
      <c r="F216" s="17">
        <f t="shared" si="78"/>
        <v>65</v>
      </c>
      <c r="G216" s="17">
        <f t="shared" si="78"/>
        <v>83</v>
      </c>
      <c r="H216" s="17">
        <f t="shared" si="78"/>
        <v>0</v>
      </c>
      <c r="I216" s="17">
        <f t="shared" si="78"/>
        <v>0</v>
      </c>
      <c r="J216" s="17">
        <f t="shared" si="78"/>
        <v>0</v>
      </c>
      <c r="K216" s="17">
        <f t="shared" si="78"/>
        <v>0</v>
      </c>
      <c r="L216" s="17">
        <f t="shared" si="78"/>
        <v>0</v>
      </c>
      <c r="M216" s="17">
        <f t="shared" si="78"/>
        <v>0</v>
      </c>
      <c r="N216" s="17">
        <f t="shared" si="78"/>
        <v>0</v>
      </c>
      <c r="O216" s="17">
        <f t="shared" si="78"/>
        <v>0</v>
      </c>
      <c r="P216" s="17">
        <f t="shared" si="78"/>
        <v>0</v>
      </c>
    </row>
    <row r="217" spans="1:16" ht="14.25">
      <c r="A217" s="6" t="s">
        <v>12</v>
      </c>
      <c r="B217" s="6"/>
      <c r="C217" s="28">
        <f aca="true" t="shared" si="79" ref="C217:P217">RANK(C216,Final_Score,0)+((COUNT(Final_Score)+1-RANK(C216,Final_Score,0)-RANK(C216,Final_Score,1))/2)</f>
        <v>1</v>
      </c>
      <c r="D217" s="28">
        <f t="shared" si="79"/>
        <v>2</v>
      </c>
      <c r="E217" s="28">
        <f t="shared" si="79"/>
        <v>3</v>
      </c>
      <c r="F217" s="28">
        <f t="shared" si="79"/>
        <v>5</v>
      </c>
      <c r="G217" s="28">
        <f t="shared" si="79"/>
        <v>4</v>
      </c>
      <c r="H217" s="28">
        <f t="shared" si="79"/>
        <v>10</v>
      </c>
      <c r="I217" s="28">
        <f t="shared" si="79"/>
        <v>10</v>
      </c>
      <c r="J217" s="28">
        <f t="shared" si="79"/>
        <v>10</v>
      </c>
      <c r="K217" s="28">
        <f t="shared" si="79"/>
        <v>10</v>
      </c>
      <c r="L217" s="28">
        <f t="shared" si="79"/>
        <v>10</v>
      </c>
      <c r="M217" s="28">
        <f t="shared" si="79"/>
        <v>10</v>
      </c>
      <c r="N217" s="28">
        <f t="shared" si="79"/>
        <v>10</v>
      </c>
      <c r="O217" s="28">
        <f t="shared" si="79"/>
        <v>10</v>
      </c>
      <c r="P217" s="28">
        <f t="shared" si="79"/>
        <v>10</v>
      </c>
    </row>
    <row r="218" spans="1:6" ht="14.25">
      <c r="A218" s="6"/>
      <c r="B218" s="6"/>
      <c r="C218" s="6"/>
      <c r="D218" s="6"/>
      <c r="E218" s="18"/>
      <c r="F218" s="6"/>
    </row>
    <row r="219" spans="1:6" ht="14.25">
      <c r="A219" s="9" t="s">
        <v>2</v>
      </c>
      <c r="B219" s="6"/>
      <c r="C219" s="6"/>
      <c r="D219" s="6"/>
      <c r="E219" s="18"/>
      <c r="F219" s="6"/>
    </row>
    <row r="220" spans="1:16" ht="14.25">
      <c r="A220" s="6" t="s">
        <v>15</v>
      </c>
      <c r="B220" s="6"/>
      <c r="C220" s="17">
        <f aca="true" t="shared" si="80" ref="C220:P220">C27+C130</f>
        <v>181</v>
      </c>
      <c r="D220" s="17">
        <f t="shared" si="80"/>
        <v>177</v>
      </c>
      <c r="E220" s="17">
        <f t="shared" si="80"/>
        <v>177</v>
      </c>
      <c r="F220" s="17">
        <f t="shared" si="80"/>
        <v>82</v>
      </c>
      <c r="G220" s="17">
        <f t="shared" si="80"/>
        <v>88</v>
      </c>
      <c r="H220" s="17">
        <f t="shared" si="80"/>
        <v>0</v>
      </c>
      <c r="I220" s="17">
        <f t="shared" si="80"/>
        <v>0</v>
      </c>
      <c r="J220" s="17">
        <f t="shared" si="80"/>
        <v>0</v>
      </c>
      <c r="K220" s="17">
        <f t="shared" si="80"/>
        <v>0</v>
      </c>
      <c r="L220" s="17">
        <f t="shared" si="80"/>
        <v>0</v>
      </c>
      <c r="M220" s="17">
        <f t="shared" si="80"/>
        <v>0</v>
      </c>
      <c r="N220" s="17">
        <f t="shared" si="80"/>
        <v>0</v>
      </c>
      <c r="O220" s="17">
        <f t="shared" si="80"/>
        <v>0</v>
      </c>
      <c r="P220" s="17">
        <f t="shared" si="80"/>
        <v>0</v>
      </c>
    </row>
    <row r="221" spans="1:16" ht="14.25">
      <c r="A221" s="6" t="s">
        <v>12</v>
      </c>
      <c r="B221" s="6"/>
      <c r="C221" s="28">
        <f aca="true" t="shared" si="81" ref="C221:P221">RANK(C220,Final_Score2,0)+((COUNT(Final_Score2)+1-RANK(C220,Final_Score2,0)-RANK(C220,Final_Score2,1))/2)</f>
        <v>1</v>
      </c>
      <c r="D221" s="28">
        <f t="shared" si="81"/>
        <v>2.5</v>
      </c>
      <c r="E221" s="28">
        <f t="shared" si="81"/>
        <v>2.5</v>
      </c>
      <c r="F221" s="28">
        <f t="shared" si="81"/>
        <v>5</v>
      </c>
      <c r="G221" s="28">
        <f t="shared" si="81"/>
        <v>4</v>
      </c>
      <c r="H221" s="28">
        <f t="shared" si="81"/>
        <v>10</v>
      </c>
      <c r="I221" s="28">
        <f t="shared" si="81"/>
        <v>10</v>
      </c>
      <c r="J221" s="28">
        <f t="shared" si="81"/>
        <v>10</v>
      </c>
      <c r="K221" s="28">
        <f t="shared" si="81"/>
        <v>10</v>
      </c>
      <c r="L221" s="28">
        <f t="shared" si="81"/>
        <v>10</v>
      </c>
      <c r="M221" s="28">
        <f t="shared" si="81"/>
        <v>10</v>
      </c>
      <c r="N221" s="28">
        <f t="shared" si="81"/>
        <v>10</v>
      </c>
      <c r="O221" s="28">
        <f t="shared" si="81"/>
        <v>10</v>
      </c>
      <c r="P221" s="28">
        <f t="shared" si="81"/>
        <v>10</v>
      </c>
    </row>
    <row r="222" spans="1:6" ht="14.25">
      <c r="A222" s="6"/>
      <c r="B222" s="6"/>
      <c r="C222" s="6"/>
      <c r="D222" s="6"/>
      <c r="E222" s="18"/>
      <c r="F222" s="6"/>
    </row>
    <row r="223" spans="1:6" ht="14.25">
      <c r="A223" s="9" t="s">
        <v>5</v>
      </c>
      <c r="B223" s="6"/>
      <c r="C223" s="6"/>
      <c r="D223" s="6"/>
      <c r="E223" s="18"/>
      <c r="F223" s="6"/>
    </row>
    <row r="224" spans="1:16" ht="14.25">
      <c r="A224" s="6" t="s">
        <v>15</v>
      </c>
      <c r="B224" s="6"/>
      <c r="C224" s="17">
        <f aca="true" t="shared" si="82" ref="C224:P224">C34+C135</f>
        <v>172</v>
      </c>
      <c r="D224" s="17">
        <f t="shared" si="82"/>
        <v>159</v>
      </c>
      <c r="E224" s="17">
        <f t="shared" si="82"/>
        <v>167</v>
      </c>
      <c r="F224" s="17">
        <f t="shared" si="82"/>
        <v>82</v>
      </c>
      <c r="G224" s="17">
        <f t="shared" si="82"/>
        <v>82</v>
      </c>
      <c r="H224" s="17">
        <f t="shared" si="82"/>
        <v>0</v>
      </c>
      <c r="I224" s="17">
        <f t="shared" si="82"/>
        <v>0</v>
      </c>
      <c r="J224" s="17">
        <f t="shared" si="82"/>
        <v>0</v>
      </c>
      <c r="K224" s="17">
        <f t="shared" si="82"/>
        <v>0</v>
      </c>
      <c r="L224" s="17">
        <f t="shared" si="82"/>
        <v>0</v>
      </c>
      <c r="M224" s="17">
        <f t="shared" si="82"/>
        <v>0</v>
      </c>
      <c r="N224" s="17">
        <f t="shared" si="82"/>
        <v>0</v>
      </c>
      <c r="O224" s="17">
        <f t="shared" si="82"/>
        <v>0</v>
      </c>
      <c r="P224" s="17">
        <f t="shared" si="82"/>
        <v>0</v>
      </c>
    </row>
    <row r="225" spans="1:16" ht="14.25">
      <c r="A225" s="6" t="s">
        <v>12</v>
      </c>
      <c r="B225" s="6"/>
      <c r="C225" s="28">
        <f aca="true" t="shared" si="83" ref="C225:P225">RANK(C224,Final_Score3,0)+((COUNT(Final_Score3)+1-RANK(C224,Final_Score3,0)-RANK(C224,Final_Score3,1))/2)</f>
        <v>1</v>
      </c>
      <c r="D225" s="28">
        <f t="shared" si="83"/>
        <v>3</v>
      </c>
      <c r="E225" s="28">
        <f t="shared" si="83"/>
        <v>2</v>
      </c>
      <c r="F225" s="28">
        <f t="shared" si="83"/>
        <v>4.5</v>
      </c>
      <c r="G225" s="28">
        <f t="shared" si="83"/>
        <v>4.5</v>
      </c>
      <c r="H225" s="28">
        <f t="shared" si="83"/>
        <v>10</v>
      </c>
      <c r="I225" s="28">
        <f t="shared" si="83"/>
        <v>10</v>
      </c>
      <c r="J225" s="28">
        <f t="shared" si="83"/>
        <v>10</v>
      </c>
      <c r="K225" s="28">
        <f t="shared" si="83"/>
        <v>10</v>
      </c>
      <c r="L225" s="28">
        <f t="shared" si="83"/>
        <v>10</v>
      </c>
      <c r="M225" s="28">
        <f t="shared" si="83"/>
        <v>10</v>
      </c>
      <c r="N225" s="28">
        <f t="shared" si="83"/>
        <v>10</v>
      </c>
      <c r="O225" s="28">
        <f t="shared" si="83"/>
        <v>10</v>
      </c>
      <c r="P225" s="28">
        <f t="shared" si="83"/>
        <v>10</v>
      </c>
    </row>
    <row r="226" spans="1:6" ht="14.25">
      <c r="A226" s="6"/>
      <c r="B226" s="6"/>
      <c r="C226" s="6"/>
      <c r="D226" s="6"/>
      <c r="E226" s="18"/>
      <c r="F226" s="6"/>
    </row>
    <row r="227" spans="1:6" ht="14.25">
      <c r="A227" s="9" t="s">
        <v>7</v>
      </c>
      <c r="B227" s="6"/>
      <c r="C227" s="6"/>
      <c r="D227" s="6"/>
      <c r="E227" s="18"/>
      <c r="F227" s="6"/>
    </row>
    <row r="228" spans="1:16" ht="14.25">
      <c r="A228" s="6" t="s">
        <v>15</v>
      </c>
      <c r="B228" s="6"/>
      <c r="C228" s="17">
        <f aca="true" t="shared" si="84" ref="C228:P228">C41+C140</f>
        <v>189</v>
      </c>
      <c r="D228" s="17">
        <f t="shared" si="84"/>
        <v>176</v>
      </c>
      <c r="E228" s="17">
        <f t="shared" si="84"/>
        <v>173</v>
      </c>
      <c r="F228" s="17">
        <f t="shared" si="84"/>
        <v>84</v>
      </c>
      <c r="G228" s="17">
        <f t="shared" si="84"/>
        <v>87</v>
      </c>
      <c r="H228" s="17">
        <f t="shared" si="84"/>
        <v>0</v>
      </c>
      <c r="I228" s="17">
        <f t="shared" si="84"/>
        <v>0</v>
      </c>
      <c r="J228" s="17">
        <f t="shared" si="84"/>
        <v>0</v>
      </c>
      <c r="K228" s="17">
        <f t="shared" si="84"/>
        <v>0</v>
      </c>
      <c r="L228" s="17">
        <f t="shared" si="84"/>
        <v>0</v>
      </c>
      <c r="M228" s="17">
        <f t="shared" si="84"/>
        <v>0</v>
      </c>
      <c r="N228" s="17">
        <f t="shared" si="84"/>
        <v>0</v>
      </c>
      <c r="O228" s="17">
        <f t="shared" si="84"/>
        <v>0</v>
      </c>
      <c r="P228" s="17">
        <f t="shared" si="84"/>
        <v>0</v>
      </c>
    </row>
    <row r="229" spans="1:16" ht="14.25">
      <c r="A229" s="6" t="s">
        <v>12</v>
      </c>
      <c r="B229" s="6"/>
      <c r="C229" s="28">
        <f aca="true" t="shared" si="85" ref="C229:P229">RANK(C228,Final_Score4,0)+((COUNT(Final_Score4)+1-RANK(C228,Final_Score4,0)-RANK(C228,Final_Score4,1))/2)</f>
        <v>1</v>
      </c>
      <c r="D229" s="28">
        <f t="shared" si="85"/>
        <v>2</v>
      </c>
      <c r="E229" s="28">
        <f t="shared" si="85"/>
        <v>3</v>
      </c>
      <c r="F229" s="28">
        <f t="shared" si="85"/>
        <v>5</v>
      </c>
      <c r="G229" s="28">
        <f t="shared" si="85"/>
        <v>4</v>
      </c>
      <c r="H229" s="28">
        <f t="shared" si="85"/>
        <v>10</v>
      </c>
      <c r="I229" s="28">
        <f t="shared" si="85"/>
        <v>10</v>
      </c>
      <c r="J229" s="28">
        <f t="shared" si="85"/>
        <v>10</v>
      </c>
      <c r="K229" s="28">
        <f t="shared" si="85"/>
        <v>10</v>
      </c>
      <c r="L229" s="28">
        <f t="shared" si="85"/>
        <v>10</v>
      </c>
      <c r="M229" s="28">
        <f t="shared" si="85"/>
        <v>10</v>
      </c>
      <c r="N229" s="28">
        <f t="shared" si="85"/>
        <v>10</v>
      </c>
      <c r="O229" s="28">
        <f t="shared" si="85"/>
        <v>10</v>
      </c>
      <c r="P229" s="28">
        <f t="shared" si="85"/>
        <v>10</v>
      </c>
    </row>
    <row r="230" spans="1:6" ht="14.25">
      <c r="A230" s="6"/>
      <c r="B230" s="6"/>
      <c r="C230" s="6"/>
      <c r="D230" s="6"/>
      <c r="E230" s="18"/>
      <c r="F230" s="6"/>
    </row>
    <row r="231" spans="1:6" ht="14.25">
      <c r="A231" s="9" t="s">
        <v>78</v>
      </c>
      <c r="B231" s="6"/>
      <c r="C231" s="6"/>
      <c r="D231" s="6"/>
      <c r="E231" s="18"/>
      <c r="F231" s="6"/>
    </row>
    <row r="232" spans="1:16" ht="14.25">
      <c r="A232" s="6" t="s">
        <v>15</v>
      </c>
      <c r="B232" s="6"/>
      <c r="C232" s="17">
        <f aca="true" t="shared" si="86" ref="C232:P232">C48+C145</f>
        <v>0</v>
      </c>
      <c r="D232" s="17">
        <f t="shared" si="86"/>
        <v>0</v>
      </c>
      <c r="E232" s="17">
        <f t="shared" si="86"/>
        <v>0</v>
      </c>
      <c r="F232" s="17">
        <f t="shared" si="86"/>
        <v>0</v>
      </c>
      <c r="G232" s="17">
        <f t="shared" si="86"/>
        <v>0</v>
      </c>
      <c r="H232" s="17">
        <f t="shared" si="86"/>
        <v>0</v>
      </c>
      <c r="I232" s="17">
        <f t="shared" si="86"/>
        <v>0</v>
      </c>
      <c r="J232" s="17">
        <f t="shared" si="86"/>
        <v>0</v>
      </c>
      <c r="K232" s="17">
        <f t="shared" si="86"/>
        <v>0</v>
      </c>
      <c r="L232" s="17">
        <f t="shared" si="86"/>
        <v>0</v>
      </c>
      <c r="M232" s="17">
        <f t="shared" si="86"/>
        <v>0</v>
      </c>
      <c r="N232" s="17">
        <f t="shared" si="86"/>
        <v>0</v>
      </c>
      <c r="O232" s="17">
        <f t="shared" si="86"/>
        <v>0</v>
      </c>
      <c r="P232" s="17">
        <f t="shared" si="86"/>
        <v>0</v>
      </c>
    </row>
    <row r="233" spans="1:16" ht="14.25">
      <c r="A233" s="6" t="s">
        <v>12</v>
      </c>
      <c r="B233" s="6"/>
      <c r="C233" s="28">
        <f aca="true" t="shared" si="87" ref="C233:P233">RANK(C232,Final_Score5,0)+((COUNT(Final_Score5)+1-RANK(C232,Final_Score5,0)-RANK(C232,Final_Score5,1))/2)</f>
        <v>7.5</v>
      </c>
      <c r="D233" s="28">
        <f t="shared" si="87"/>
        <v>7.5</v>
      </c>
      <c r="E233" s="28">
        <f t="shared" si="87"/>
        <v>7.5</v>
      </c>
      <c r="F233" s="28">
        <f t="shared" si="87"/>
        <v>7.5</v>
      </c>
      <c r="G233" s="28">
        <f t="shared" si="87"/>
        <v>7.5</v>
      </c>
      <c r="H233" s="28">
        <f t="shared" si="87"/>
        <v>7.5</v>
      </c>
      <c r="I233" s="28">
        <f t="shared" si="87"/>
        <v>7.5</v>
      </c>
      <c r="J233" s="28">
        <f t="shared" si="87"/>
        <v>7.5</v>
      </c>
      <c r="K233" s="28">
        <f t="shared" si="87"/>
        <v>7.5</v>
      </c>
      <c r="L233" s="28">
        <f t="shared" si="87"/>
        <v>7.5</v>
      </c>
      <c r="M233" s="28">
        <f t="shared" si="87"/>
        <v>7.5</v>
      </c>
      <c r="N233" s="28">
        <f t="shared" si="87"/>
        <v>7.5</v>
      </c>
      <c r="O233" s="28">
        <f t="shared" si="87"/>
        <v>7.5</v>
      </c>
      <c r="P233" s="28">
        <f t="shared" si="87"/>
        <v>7.5</v>
      </c>
    </row>
    <row r="234" spans="1:6" ht="14.25">
      <c r="A234" s="6"/>
      <c r="B234" s="6"/>
      <c r="C234" s="6"/>
      <c r="D234" s="6"/>
      <c r="E234" s="18"/>
      <c r="F234" s="6"/>
    </row>
    <row r="235" ht="14.25">
      <c r="E235" s="18"/>
    </row>
    <row r="236" spans="1:16" ht="14.25">
      <c r="A236" t="s">
        <v>0</v>
      </c>
      <c r="C236" s="14">
        <f aca="true" t="shared" si="88" ref="C236:I236">C217</f>
        <v>1</v>
      </c>
      <c r="D236" s="14">
        <f t="shared" si="88"/>
        <v>2</v>
      </c>
      <c r="E236" s="14">
        <f t="shared" si="88"/>
        <v>3</v>
      </c>
      <c r="F236" s="14">
        <f t="shared" si="88"/>
        <v>5</v>
      </c>
      <c r="G236" s="14">
        <f t="shared" si="88"/>
        <v>4</v>
      </c>
      <c r="H236" s="14">
        <f t="shared" si="88"/>
        <v>10</v>
      </c>
      <c r="I236" s="14">
        <f t="shared" si="88"/>
        <v>10</v>
      </c>
      <c r="J236" s="14">
        <f aca="true" t="shared" si="89" ref="J236:P236">J217</f>
        <v>10</v>
      </c>
      <c r="K236" s="14">
        <f t="shared" si="89"/>
        <v>10</v>
      </c>
      <c r="L236" s="14">
        <f t="shared" si="89"/>
        <v>10</v>
      </c>
      <c r="M236" s="14">
        <f t="shared" si="89"/>
        <v>10</v>
      </c>
      <c r="N236" s="14">
        <f t="shared" si="89"/>
        <v>10</v>
      </c>
      <c r="O236" s="14">
        <f t="shared" si="89"/>
        <v>10</v>
      </c>
      <c r="P236" s="14">
        <f t="shared" si="89"/>
        <v>10</v>
      </c>
    </row>
    <row r="237" spans="1:16" ht="14.25">
      <c r="A237" t="s">
        <v>2</v>
      </c>
      <c r="C237" s="14">
        <f aca="true" t="shared" si="90" ref="C237:I237">C221</f>
        <v>1</v>
      </c>
      <c r="D237" s="14">
        <f t="shared" si="90"/>
        <v>2.5</v>
      </c>
      <c r="E237" s="14">
        <f t="shared" si="90"/>
        <v>2.5</v>
      </c>
      <c r="F237" s="14">
        <f t="shared" si="90"/>
        <v>5</v>
      </c>
      <c r="G237" s="14">
        <f t="shared" si="90"/>
        <v>4</v>
      </c>
      <c r="H237" s="14">
        <f t="shared" si="90"/>
        <v>10</v>
      </c>
      <c r="I237" s="14">
        <f t="shared" si="90"/>
        <v>10</v>
      </c>
      <c r="J237" s="14">
        <f aca="true" t="shared" si="91" ref="J237:P237">J221</f>
        <v>10</v>
      </c>
      <c r="K237" s="14">
        <f t="shared" si="91"/>
        <v>10</v>
      </c>
      <c r="L237" s="14">
        <f t="shared" si="91"/>
        <v>10</v>
      </c>
      <c r="M237" s="14">
        <f t="shared" si="91"/>
        <v>10</v>
      </c>
      <c r="N237" s="14">
        <f t="shared" si="91"/>
        <v>10</v>
      </c>
      <c r="O237" s="14">
        <f t="shared" si="91"/>
        <v>10</v>
      </c>
      <c r="P237" s="14">
        <f t="shared" si="91"/>
        <v>10</v>
      </c>
    </row>
    <row r="238" spans="1:16" ht="14.25">
      <c r="A238" t="s">
        <v>5</v>
      </c>
      <c r="C238" s="14">
        <f aca="true" t="shared" si="92" ref="C238:I238">C225</f>
        <v>1</v>
      </c>
      <c r="D238" s="14">
        <f t="shared" si="92"/>
        <v>3</v>
      </c>
      <c r="E238" s="14">
        <f t="shared" si="92"/>
        <v>2</v>
      </c>
      <c r="F238" s="14">
        <f t="shared" si="92"/>
        <v>4.5</v>
      </c>
      <c r="G238" s="14">
        <f t="shared" si="92"/>
        <v>4.5</v>
      </c>
      <c r="H238" s="14">
        <f t="shared" si="92"/>
        <v>10</v>
      </c>
      <c r="I238" s="14">
        <f t="shared" si="92"/>
        <v>10</v>
      </c>
      <c r="J238" s="14">
        <f aca="true" t="shared" si="93" ref="J238:P238">J225</f>
        <v>10</v>
      </c>
      <c r="K238" s="14">
        <f t="shared" si="93"/>
        <v>10</v>
      </c>
      <c r="L238" s="14">
        <f t="shared" si="93"/>
        <v>10</v>
      </c>
      <c r="M238" s="14">
        <f t="shared" si="93"/>
        <v>10</v>
      </c>
      <c r="N238" s="14">
        <f t="shared" si="93"/>
        <v>10</v>
      </c>
      <c r="O238" s="14">
        <f t="shared" si="93"/>
        <v>10</v>
      </c>
      <c r="P238" s="14">
        <f t="shared" si="93"/>
        <v>10</v>
      </c>
    </row>
    <row r="239" spans="1:16" ht="14.25">
      <c r="A239" t="s">
        <v>7</v>
      </c>
      <c r="C239" s="14">
        <f aca="true" t="shared" si="94" ref="C239:I239">C229</f>
        <v>1</v>
      </c>
      <c r="D239" s="14">
        <f t="shared" si="94"/>
        <v>2</v>
      </c>
      <c r="E239" s="14">
        <f t="shared" si="94"/>
        <v>3</v>
      </c>
      <c r="F239" s="14">
        <f t="shared" si="94"/>
        <v>5</v>
      </c>
      <c r="G239" s="14">
        <f t="shared" si="94"/>
        <v>4</v>
      </c>
      <c r="H239" s="14">
        <f t="shared" si="94"/>
        <v>10</v>
      </c>
      <c r="I239" s="14">
        <f t="shared" si="94"/>
        <v>10</v>
      </c>
      <c r="J239" s="14">
        <f aca="true" t="shared" si="95" ref="J239:P239">J229</f>
        <v>10</v>
      </c>
      <c r="K239" s="14">
        <f t="shared" si="95"/>
        <v>10</v>
      </c>
      <c r="L239" s="14">
        <f t="shared" si="95"/>
        <v>10</v>
      </c>
      <c r="M239" s="14">
        <f t="shared" si="95"/>
        <v>10</v>
      </c>
      <c r="N239" s="14">
        <f t="shared" si="95"/>
        <v>10</v>
      </c>
      <c r="O239" s="14">
        <f t="shared" si="95"/>
        <v>10</v>
      </c>
      <c r="P239" s="14">
        <f t="shared" si="95"/>
        <v>10</v>
      </c>
    </row>
    <row r="240" spans="1:16" ht="14.25">
      <c r="A240" t="s">
        <v>78</v>
      </c>
      <c r="C240" s="14">
        <f>C233</f>
        <v>7.5</v>
      </c>
      <c r="D240" s="14">
        <f aca="true" t="shared" si="96" ref="D240:P240">D233</f>
        <v>7.5</v>
      </c>
      <c r="E240" s="14">
        <f t="shared" si="96"/>
        <v>7.5</v>
      </c>
      <c r="F240" s="14">
        <f t="shared" si="96"/>
        <v>7.5</v>
      </c>
      <c r="G240" s="14">
        <f t="shared" si="96"/>
        <v>7.5</v>
      </c>
      <c r="H240" s="14">
        <f t="shared" si="96"/>
        <v>7.5</v>
      </c>
      <c r="I240" s="14">
        <f t="shared" si="96"/>
        <v>7.5</v>
      </c>
      <c r="J240" s="14">
        <f t="shared" si="96"/>
        <v>7.5</v>
      </c>
      <c r="K240" s="14">
        <f t="shared" si="96"/>
        <v>7.5</v>
      </c>
      <c r="L240" s="14">
        <f t="shared" si="96"/>
        <v>7.5</v>
      </c>
      <c r="M240" s="14">
        <f t="shared" si="96"/>
        <v>7.5</v>
      </c>
      <c r="N240" s="14">
        <f t="shared" si="96"/>
        <v>7.5</v>
      </c>
      <c r="O240" s="14">
        <f t="shared" si="96"/>
        <v>7.5</v>
      </c>
      <c r="P240" s="14">
        <f t="shared" si="96"/>
        <v>7.5</v>
      </c>
    </row>
    <row r="241" ht="14.25">
      <c r="E241" s="6"/>
    </row>
    <row r="242" spans="1:16" ht="14.25">
      <c r="A242" s="6"/>
      <c r="B242" s="9" t="s">
        <v>16</v>
      </c>
      <c r="C242" s="29">
        <f aca="true" t="shared" si="97" ref="C242:I242">SUM(C236:C239)</f>
        <v>4</v>
      </c>
      <c r="D242" s="29">
        <f t="shared" si="97"/>
        <v>9.5</v>
      </c>
      <c r="E242" s="29">
        <f t="shared" si="97"/>
        <v>10.5</v>
      </c>
      <c r="F242" s="29">
        <f t="shared" si="97"/>
        <v>19.5</v>
      </c>
      <c r="G242" s="29">
        <f t="shared" si="97"/>
        <v>16.5</v>
      </c>
      <c r="H242" s="29">
        <f t="shared" si="97"/>
        <v>40</v>
      </c>
      <c r="I242" s="29">
        <f t="shared" si="97"/>
        <v>40</v>
      </c>
      <c r="J242" s="29">
        <f aca="true" t="shared" si="98" ref="J242:P242">SUM(J236:J239)</f>
        <v>40</v>
      </c>
      <c r="K242" s="29">
        <f t="shared" si="98"/>
        <v>40</v>
      </c>
      <c r="L242" s="29">
        <f t="shared" si="98"/>
        <v>40</v>
      </c>
      <c r="M242" s="29">
        <f t="shared" si="98"/>
        <v>40</v>
      </c>
      <c r="N242" s="29">
        <f t="shared" si="98"/>
        <v>40</v>
      </c>
      <c r="O242" s="29">
        <f t="shared" si="98"/>
        <v>40</v>
      </c>
      <c r="P242" s="29">
        <f t="shared" si="98"/>
        <v>40</v>
      </c>
    </row>
    <row r="243" spans="3:6" ht="14.25">
      <c r="C243" s="24"/>
      <c r="D243" s="24"/>
      <c r="E243" s="25"/>
      <c r="F243" s="24"/>
    </row>
    <row r="244" spans="1:16" ht="14.25">
      <c r="A244" s="1" t="s">
        <v>36</v>
      </c>
      <c r="B244" s="1"/>
      <c r="C244" s="29">
        <f>RANK(C242,Overall_Rank,1)+((COUNT(Overall_Rank)+1-RANK(C242,Overall_Rank,0)-RANK(C242,Overall_Rank,1))/2)</f>
        <v>1</v>
      </c>
      <c r="D244" s="29">
        <f aca="true" t="shared" si="99" ref="D244:P244">RANK(D242,Overall_Rank,1)+((COUNT(Overall_Rank)+1-RANK(D242,Overall_Rank,0)-RANK(D242,Overall_Rank,1))/2)</f>
        <v>2</v>
      </c>
      <c r="E244" s="29">
        <f t="shared" si="99"/>
        <v>3</v>
      </c>
      <c r="F244" s="29">
        <f t="shared" si="99"/>
        <v>5</v>
      </c>
      <c r="G244" s="29">
        <f t="shared" si="99"/>
        <v>4</v>
      </c>
      <c r="H244" s="29">
        <f t="shared" si="99"/>
        <v>10</v>
      </c>
      <c r="I244" s="29">
        <f t="shared" si="99"/>
        <v>10</v>
      </c>
      <c r="J244" s="29">
        <f t="shared" si="99"/>
        <v>10</v>
      </c>
      <c r="K244" s="29">
        <f t="shared" si="99"/>
        <v>10</v>
      </c>
      <c r="L244" s="29">
        <f t="shared" si="99"/>
        <v>10</v>
      </c>
      <c r="M244" s="29">
        <f t="shared" si="99"/>
        <v>10</v>
      </c>
      <c r="N244" s="29">
        <f t="shared" si="99"/>
        <v>10</v>
      </c>
      <c r="O244" s="29">
        <f t="shared" si="99"/>
        <v>10</v>
      </c>
      <c r="P244" s="29">
        <f t="shared" si="99"/>
        <v>10</v>
      </c>
    </row>
  </sheetData>
  <sheetProtection/>
  <mergeCells count="13">
    <mergeCell ref="B1:C1"/>
    <mergeCell ref="A14:B14"/>
    <mergeCell ref="A7:B7"/>
    <mergeCell ref="A212:G212"/>
    <mergeCell ref="A73:F73"/>
    <mergeCell ref="A199:F199"/>
    <mergeCell ref="A205:F205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'RFP Score Sheet'!E6</f>
        <v>Dekker/Perich/Sabatini</v>
      </c>
      <c r="C1" s="21" t="str">
        <f>'RFP Score Sheet'!D6</f>
        <v>ASA Architects</v>
      </c>
      <c r="D1" s="21" t="e">
        <f>'RFP Score Sheet'!#REF!</f>
        <v>#REF!</v>
      </c>
      <c r="E1" s="21" t="str">
        <f>'RFP Score Sheet'!F6</f>
        <v>Hartman Design Group</v>
      </c>
      <c r="F1" s="21" t="str">
        <f>'RFP Score Sheet'!G6</f>
        <v>Williams Design Group</v>
      </c>
      <c r="G1" s="21" t="str">
        <f>'RFP Score Sheet'!C6</f>
        <v>AKS Architects</v>
      </c>
      <c r="H1" s="21">
        <f>'RFP Score Sheet'!I6</f>
        <v>0</v>
      </c>
      <c r="I1" s="21">
        <f>'RFP Score Sheet'!J6</f>
        <v>0</v>
      </c>
      <c r="J1" s="21" t="str">
        <f>'RFP Score Sheet'!K6</f>
        <v>Firm I</v>
      </c>
      <c r="K1" s="21" t="str">
        <f>'RFP Score Sheet'!L6</f>
        <v>Firm J</v>
      </c>
      <c r="L1" s="21" t="str">
        <f>'RFP Score Sheet'!M6</f>
        <v>Firm K</v>
      </c>
      <c r="M1" s="21" t="str">
        <f>'RFP Score Sheet'!N6</f>
        <v>Firm L</v>
      </c>
      <c r="N1" s="21" t="str">
        <f>'RFP Score Sheet'!O6</f>
        <v>Firm M</v>
      </c>
      <c r="O1" s="21" t="str">
        <f>'RFP Score Sheet'!P6</f>
        <v>Firm N</v>
      </c>
      <c r="P1" s="21" t="e">
        <f>'RFP Score Sheet'!#REF!</f>
        <v>#REF!</v>
      </c>
      <c r="Q1" s="21" t="e">
        <f>'RFP Score Sheet'!#REF!</f>
        <v>#REF!</v>
      </c>
      <c r="R1" s="21" t="e">
        <f>'RFP Score Sheet'!#REF!</f>
        <v>#REF!</v>
      </c>
      <c r="S1" s="21" t="e">
        <f>'RFP Score Sheet'!#REF!</f>
        <v>#REF!</v>
      </c>
      <c r="T1" s="21" t="e">
        <f>'RFP Score Sheet'!#REF!</f>
        <v>#REF!</v>
      </c>
      <c r="U1" s="21" t="e">
        <f>'RFP Score Sheet'!#REF!</f>
        <v>#REF!</v>
      </c>
      <c r="V1" s="21" t="e">
        <f>'RFP Score Sheet'!#REF!</f>
        <v>#REF!</v>
      </c>
      <c r="W1" s="21" t="e">
        <f>'RFP Score Sheet'!#REF!</f>
        <v>#REF!</v>
      </c>
      <c r="X1" s="21" t="e">
        <f>'RFP Score Sheet'!#REF!</f>
        <v>#REF!</v>
      </c>
      <c r="Y1" s="21" t="e">
        <f>'RFP Score Sheet'!#REF!</f>
        <v>#REF!</v>
      </c>
      <c r="Z1" s="21" t="e">
        <f>'RFP Score Sheet'!#REF!</f>
        <v>#REF!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 t="str">
        <f>IF(SUM(B2:B6)&gt;0,SUM(B2:B6),"N/A")</f>
        <v>N/A</v>
      </c>
      <c r="C7" s="19" t="str">
        <f aca="true" t="shared" si="0" ref="C7:Z7">IF(SUM(C2:C6)&gt;0,SUM(C2:C6),"N/A")</f>
        <v>N/A</v>
      </c>
      <c r="D7" s="19" t="str">
        <f t="shared" si="0"/>
        <v>N/A</v>
      </c>
      <c r="E7" s="19" t="str">
        <f t="shared" si="0"/>
        <v>N/A</v>
      </c>
      <c r="F7" s="19" t="str">
        <f t="shared" si="0"/>
        <v>N/A</v>
      </c>
      <c r="G7" s="19" t="str">
        <f t="shared" si="0"/>
        <v>N/A</v>
      </c>
      <c r="H7" s="19" t="str">
        <f t="shared" si="0"/>
        <v>N/A</v>
      </c>
      <c r="I7" s="19" t="str">
        <f t="shared" si="0"/>
        <v>N/A</v>
      </c>
      <c r="J7" s="19" t="str">
        <f t="shared" si="0"/>
        <v>N/A</v>
      </c>
      <c r="K7" s="19" t="str">
        <f t="shared" si="0"/>
        <v>N/A</v>
      </c>
      <c r="L7" s="19" t="str">
        <f t="shared" si="0"/>
        <v>N/A</v>
      </c>
      <c r="M7" s="19" t="str">
        <f t="shared" si="0"/>
        <v>N/A</v>
      </c>
      <c r="N7" s="19" t="str">
        <f t="shared" si="0"/>
        <v>N/A</v>
      </c>
      <c r="O7" s="19" t="str">
        <f t="shared" si="0"/>
        <v>N/A</v>
      </c>
      <c r="P7" s="19" t="str">
        <f t="shared" si="0"/>
        <v>N/A</v>
      </c>
      <c r="Q7" s="19" t="str">
        <f t="shared" si="0"/>
        <v>N/A</v>
      </c>
      <c r="R7" s="19" t="str">
        <f t="shared" si="0"/>
        <v>N/A</v>
      </c>
      <c r="S7" s="19" t="str">
        <f t="shared" si="0"/>
        <v>N/A</v>
      </c>
      <c r="T7" s="19" t="str">
        <f t="shared" si="0"/>
        <v>N/A</v>
      </c>
      <c r="U7" s="19" t="str">
        <f t="shared" si="0"/>
        <v>N/A</v>
      </c>
      <c r="V7" s="19" t="str">
        <f t="shared" si="0"/>
        <v>N/A</v>
      </c>
      <c r="W7" s="19" t="str">
        <f t="shared" si="0"/>
        <v>N/A</v>
      </c>
      <c r="X7" s="19" t="str">
        <f t="shared" si="0"/>
        <v>N/A</v>
      </c>
      <c r="Y7" s="19" t="str">
        <f t="shared" si="0"/>
        <v>N/A</v>
      </c>
      <c r="Z7" s="19" t="str">
        <f t="shared" si="0"/>
        <v>N/A</v>
      </c>
    </row>
    <row r="8" spans="2:6" ht="14.25">
      <c r="B8" s="19"/>
      <c r="C8" s="19"/>
      <c r="D8" s="19"/>
      <c r="E8" s="19"/>
      <c r="F8" s="19"/>
    </row>
    <row r="9" spans="1:26" ht="14.25">
      <c r="A9" t="s">
        <v>29</v>
      </c>
      <c r="B9" s="19">
        <f aca="true" t="shared" si="1" ref="B9:Z9">MIN(Total_Price)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</row>
    <row r="10" spans="1:26" ht="14.25">
      <c r="A10" t="s">
        <v>76</v>
      </c>
      <c r="B10" s="14">
        <f aca="true" t="shared" si="2" ref="B10:Z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  <c r="Y10" s="14">
        <f t="shared" si="2"/>
        <v>0</v>
      </c>
      <c r="Z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4"/>
      <c r="C1" s="74"/>
      <c r="D1" s="3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5">
      <c r="A2" s="5" t="s">
        <v>69</v>
      </c>
      <c r="B2" s="52"/>
      <c r="C2" s="52"/>
      <c r="D2" s="53"/>
      <c r="E2" s="51" t="s">
        <v>68</v>
      </c>
      <c r="F2" s="66"/>
      <c r="G2" s="46" t="s">
        <v>67</v>
      </c>
      <c r="H2" s="49"/>
      <c r="I2" s="46" t="s">
        <v>66</v>
      </c>
      <c r="J2" s="6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66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66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66"/>
    </row>
    <row r="6" spans="1:30" ht="15.75" thickBot="1">
      <c r="A6" t="s">
        <v>106</v>
      </c>
      <c r="B6" s="61">
        <f>COUNTA(C6:AA6)</f>
        <v>25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7" t="s">
        <v>64</v>
      </c>
      <c r="AD6" s="77"/>
    </row>
    <row r="7" spans="1:30" ht="32.25" customHeight="1">
      <c r="A7" s="73" t="s">
        <v>80</v>
      </c>
      <c r="B7" s="73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3" t="s">
        <v>46</v>
      </c>
      <c r="B12" s="73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3" t="s">
        <v>107</v>
      </c>
      <c r="B13" s="73"/>
      <c r="C13" s="67">
        <f aca="true" t="shared" si="1" ref="C13:AA13">IF(Preference=1,C15*0.05,IF(Preference=2,C15*0.1,IF(Preference=3,C15*0.08,IF(Preference=4,C15*0.07,IF(Preference=5,C15*(0.05*Joint_percent_res)+(0.1*Joint_percent_vet1)+(0.08*Joint_percent_vet2)+(0.07*Joint_percent_vet3),0)))))</f>
        <v>0</v>
      </c>
      <c r="D13" s="67">
        <f t="shared" si="1"/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  <c r="V13" s="67">
        <f t="shared" si="1"/>
        <v>0</v>
      </c>
      <c r="W13" s="67">
        <f t="shared" si="1"/>
        <v>0</v>
      </c>
      <c r="X13" s="67">
        <f t="shared" si="1"/>
        <v>0</v>
      </c>
      <c r="Y13" s="67">
        <f t="shared" si="1"/>
        <v>0</v>
      </c>
      <c r="Z13" s="67">
        <f t="shared" si="1"/>
        <v>0</v>
      </c>
      <c r="AA13" s="67">
        <f t="shared" si="1"/>
        <v>0</v>
      </c>
    </row>
    <row r="14" spans="1:27" ht="18.75" customHeight="1">
      <c r="A14" s="39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thickBot="1">
      <c r="A15" t="s">
        <v>74</v>
      </c>
      <c r="C15" s="68">
        <f>'Bid Tab'!B7</f>
        <v>0</v>
      </c>
      <c r="D15" s="68">
        <f>'Bid Tab'!C7</f>
        <v>0</v>
      </c>
      <c r="E15" s="68">
        <f>'Bid Tab'!D7</f>
        <v>0</v>
      </c>
      <c r="F15" s="68">
        <f>'Bid Tab'!E7</f>
        <v>0</v>
      </c>
      <c r="G15" s="68">
        <f>'Bid Tab'!F7</f>
        <v>0</v>
      </c>
      <c r="H15" s="68">
        <f>'Bid Tab'!G7</f>
        <v>0</v>
      </c>
      <c r="I15" s="68">
        <f>'Bid Tab'!H7</f>
        <v>0</v>
      </c>
      <c r="J15" s="68">
        <f>'Bid Tab'!I7</f>
        <v>0</v>
      </c>
      <c r="K15" s="68">
        <f>'Bid Tab'!J7</f>
        <v>0</v>
      </c>
      <c r="L15" s="68">
        <f>'Bid Tab'!K7</f>
        <v>0</v>
      </c>
      <c r="M15" s="68">
        <f>'Bid Tab'!L7</f>
        <v>0</v>
      </c>
      <c r="N15" s="68">
        <f>'Bid Tab'!M7</f>
        <v>0</v>
      </c>
      <c r="O15" s="68">
        <f>'Bid Tab'!N7</f>
        <v>0</v>
      </c>
      <c r="P15" s="68">
        <f>'Bid Tab'!O7</f>
        <v>0</v>
      </c>
      <c r="Q15" s="68">
        <f>'Bid Tab'!P7</f>
        <v>0</v>
      </c>
      <c r="R15" s="68">
        <f>'Bid Tab'!Q7</f>
        <v>0</v>
      </c>
      <c r="S15" s="68">
        <f>'Bid Tab'!R7</f>
        <v>0</v>
      </c>
      <c r="T15" s="68">
        <f>'Bid Tab'!S7</f>
        <v>0</v>
      </c>
      <c r="U15" s="68">
        <f>'Bid Tab'!T7</f>
        <v>0</v>
      </c>
      <c r="V15" s="68">
        <f>'Bid Tab'!U7</f>
        <v>0</v>
      </c>
      <c r="W15" s="68">
        <f>'Bid Tab'!V7</f>
        <v>0</v>
      </c>
      <c r="X15" s="68">
        <f>'Bid Tab'!W7</f>
        <v>0</v>
      </c>
      <c r="Y15" s="68">
        <f>'Bid Tab'!X7</f>
        <v>0</v>
      </c>
      <c r="Z15" s="68">
        <f>'Bid Tab'!Y7</f>
        <v>0</v>
      </c>
      <c r="AA15" s="68">
        <f>'Bid Tab'!Z7</f>
        <v>0</v>
      </c>
    </row>
    <row r="16" spans="1:27" ht="14.25">
      <c r="A16" s="3" t="s">
        <v>41</v>
      </c>
      <c r="C16" s="69">
        <f aca="true" t="shared" si="2" ref="C16:AA16">C15-Preference_Factor1</f>
        <v>0</v>
      </c>
      <c r="D16" s="69">
        <f t="shared" si="2"/>
        <v>0</v>
      </c>
      <c r="E16" s="69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  <c r="Q16" s="69">
        <f t="shared" si="2"/>
        <v>0</v>
      </c>
      <c r="R16" s="69">
        <f t="shared" si="2"/>
        <v>0</v>
      </c>
      <c r="S16" s="69">
        <f t="shared" si="2"/>
        <v>0</v>
      </c>
      <c r="T16" s="69">
        <f t="shared" si="2"/>
        <v>0</v>
      </c>
      <c r="U16" s="69">
        <f t="shared" si="2"/>
        <v>0</v>
      </c>
      <c r="V16" s="69">
        <f t="shared" si="2"/>
        <v>0</v>
      </c>
      <c r="W16" s="69">
        <f t="shared" si="2"/>
        <v>0</v>
      </c>
      <c r="X16" s="69">
        <f t="shared" si="2"/>
        <v>0</v>
      </c>
      <c r="Y16" s="69">
        <f t="shared" si="2"/>
        <v>0</v>
      </c>
      <c r="Z16" s="69">
        <f t="shared" si="2"/>
        <v>0</v>
      </c>
      <c r="AA16" s="69">
        <f t="shared" si="2"/>
        <v>0</v>
      </c>
    </row>
    <row r="17" spans="1:27" ht="14.25">
      <c r="A17" s="1" t="s">
        <v>1</v>
      </c>
      <c r="B17" s="1"/>
      <c r="C17" s="16">
        <f aca="true" t="shared" si="3" ref="C17:AA17">RANK(C16,Rater1,1)+((COUNT(Rater1)+1-RANK(C16,Rater1,0)-RANK(C16,Rater1,1))/2)</f>
        <v>13</v>
      </c>
      <c r="D17" s="16">
        <f t="shared" si="3"/>
        <v>13</v>
      </c>
      <c r="E17" s="16">
        <f t="shared" si="3"/>
        <v>13</v>
      </c>
      <c r="F17" s="16">
        <f t="shared" si="3"/>
        <v>13</v>
      </c>
      <c r="G17" s="16">
        <f t="shared" si="3"/>
        <v>13</v>
      </c>
      <c r="H17" s="16">
        <f t="shared" si="3"/>
        <v>13</v>
      </c>
      <c r="I17" s="16">
        <f t="shared" si="3"/>
        <v>13</v>
      </c>
      <c r="J17" s="16">
        <f t="shared" si="3"/>
        <v>13</v>
      </c>
      <c r="K17" s="16">
        <f t="shared" si="3"/>
        <v>13</v>
      </c>
      <c r="L17" s="16">
        <f t="shared" si="3"/>
        <v>13</v>
      </c>
      <c r="M17" s="16">
        <f t="shared" si="3"/>
        <v>13</v>
      </c>
      <c r="N17" s="16">
        <f t="shared" si="3"/>
        <v>13</v>
      </c>
      <c r="O17" s="16">
        <f t="shared" si="3"/>
        <v>13</v>
      </c>
      <c r="P17" s="16">
        <f t="shared" si="3"/>
        <v>13</v>
      </c>
      <c r="Q17" s="16">
        <f t="shared" si="3"/>
        <v>13</v>
      </c>
      <c r="R17" s="16">
        <f t="shared" si="3"/>
        <v>13</v>
      </c>
      <c r="S17" s="16">
        <f t="shared" si="3"/>
        <v>13</v>
      </c>
      <c r="T17" s="16">
        <f t="shared" si="3"/>
        <v>13</v>
      </c>
      <c r="U17" s="16">
        <f t="shared" si="3"/>
        <v>13</v>
      </c>
      <c r="V17" s="16">
        <f t="shared" si="3"/>
        <v>13</v>
      </c>
      <c r="W17" s="16">
        <f t="shared" si="3"/>
        <v>13</v>
      </c>
      <c r="X17" s="16">
        <f t="shared" si="3"/>
        <v>13</v>
      </c>
      <c r="Y17" s="16">
        <f t="shared" si="3"/>
        <v>13</v>
      </c>
      <c r="Z17" s="16">
        <f t="shared" si="3"/>
        <v>13</v>
      </c>
      <c r="AA17" s="16">
        <f t="shared" si="3"/>
        <v>13</v>
      </c>
    </row>
  </sheetData>
  <sheetProtection/>
  <mergeCells count="9">
    <mergeCell ref="A11:B11"/>
    <mergeCell ref="A12:B12"/>
    <mergeCell ref="A13:B13"/>
    <mergeCell ref="B1:C1"/>
    <mergeCell ref="AC6:AD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Z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'Bid Evaluation'!C6</f>
        <v>Firm A</v>
      </c>
      <c r="C1" s="21" t="str">
        <f>'Bid Evaluation'!D6</f>
        <v>Firm B</v>
      </c>
      <c r="D1" s="21" t="str">
        <f>'Bid Evaluation'!E6</f>
        <v>Firm C</v>
      </c>
      <c r="E1" s="21" t="str">
        <f>'Bid Evaluation'!F6</f>
        <v>Firm D</v>
      </c>
      <c r="F1" s="21" t="str">
        <f>'Bid Evaluation'!G6</f>
        <v>Firm E</v>
      </c>
      <c r="G1" s="21" t="str">
        <f>'Bid Evaluation'!H6</f>
        <v>Firm F</v>
      </c>
      <c r="H1" s="21" t="str">
        <f>'Bid Evaluation'!I6</f>
        <v>Firm G</v>
      </c>
      <c r="I1" s="21" t="str">
        <f>'Bid Evaluation'!J6</f>
        <v>Firm H</v>
      </c>
      <c r="J1" s="21" t="str">
        <f>'Bid Evaluation'!K6</f>
        <v>Firm I</v>
      </c>
      <c r="K1" s="21" t="str">
        <f>'Bid Evaluation'!L6</f>
        <v>Firm J</v>
      </c>
      <c r="L1" s="21" t="str">
        <f>'Bid Evaluation'!M6</f>
        <v>Firm K</v>
      </c>
      <c r="M1" s="21" t="str">
        <f>'Bid Evaluation'!N6</f>
        <v>Firm L</v>
      </c>
      <c r="N1" s="21" t="str">
        <f>'Bid Evaluation'!O6</f>
        <v>Firm M</v>
      </c>
      <c r="O1" s="21" t="str">
        <f>'Bid Evaluation'!P6</f>
        <v>Firm N</v>
      </c>
      <c r="P1" s="21" t="str">
        <f>'Bid Evaluation'!Q6</f>
        <v>Firm O</v>
      </c>
      <c r="Q1" s="21" t="str">
        <f>'Bid Evaluation'!R6</f>
        <v>Firm P</v>
      </c>
      <c r="R1" s="21" t="str">
        <f>'Bid Evaluation'!S6</f>
        <v>Firm Q</v>
      </c>
      <c r="S1" s="21" t="str">
        <f>'Bid Evaluation'!T6</f>
        <v>Firm R</v>
      </c>
      <c r="T1" s="21" t="str">
        <f>'Bid Evaluation'!U6</f>
        <v>Firm S</v>
      </c>
      <c r="U1" s="21" t="str">
        <f>'Bid Evaluation'!V6</f>
        <v>Firm T</v>
      </c>
      <c r="V1" s="21" t="str">
        <f>'Bid Evaluation'!W6</f>
        <v>Firm U</v>
      </c>
      <c r="W1" s="21" t="str">
        <f>'Bid Evaluation'!X6</f>
        <v>Firm V</v>
      </c>
      <c r="X1" s="21" t="str">
        <f>'Bid Evaluation'!Y6</f>
        <v>Firm W</v>
      </c>
      <c r="Y1" s="21" t="str">
        <f>'Bid Evaluation'!Z6</f>
        <v>Firm X</v>
      </c>
      <c r="Z1" s="21" t="str">
        <f>'Bid Evaluation'!AA6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>
        <f>SUM(B2:B6)</f>
        <v>0</v>
      </c>
      <c r="C7" s="19">
        <f aca="true" t="shared" si="0" ref="C7:Z7">SUM(C2:C6)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</row>
    <row r="8" spans="2:6" ht="14.25">
      <c r="B8" s="19"/>
      <c r="C8" s="19"/>
      <c r="D8" s="19"/>
      <c r="E8" s="19"/>
      <c r="F8" s="19"/>
    </row>
    <row r="9" spans="2:26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2:26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62"/>
  <sheetViews>
    <sheetView zoomScale="96" zoomScaleNormal="96" zoomScalePageLayoutView="0" workbookViewId="0" topLeftCell="A43">
      <selection activeCell="E66" sqref="E6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10" width="13.421875" style="0" customWidth="1"/>
    <col min="12" max="12" width="5.140625" style="0" customWidth="1"/>
    <col min="13" max="13" width="29.140625" style="0" customWidth="1"/>
    <col min="16" max="16" width="29.57421875" style="0" customWidth="1"/>
  </cols>
  <sheetData>
    <row r="1" spans="1:10" ht="15">
      <c r="A1" s="5" t="s">
        <v>70</v>
      </c>
      <c r="B1" s="74"/>
      <c r="C1" s="74"/>
      <c r="D1" s="33"/>
      <c r="E1" s="64"/>
      <c r="F1" s="64"/>
      <c r="G1" s="64"/>
      <c r="H1" s="64"/>
      <c r="I1" s="64"/>
      <c r="J1" s="64"/>
    </row>
    <row r="2" spans="1:10" ht="15">
      <c r="A2" s="5" t="s">
        <v>69</v>
      </c>
      <c r="B2" s="52"/>
      <c r="C2" s="52"/>
      <c r="D2" s="53"/>
      <c r="E2" s="51" t="s">
        <v>68</v>
      </c>
      <c r="F2" s="64"/>
      <c r="G2" s="46" t="s">
        <v>67</v>
      </c>
      <c r="H2" s="49"/>
      <c r="I2" s="46" t="s">
        <v>66</v>
      </c>
      <c r="J2" s="65"/>
    </row>
    <row r="3" spans="1:10" ht="15">
      <c r="A3" s="64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49"/>
    </row>
    <row r="4" spans="1:10" ht="15">
      <c r="A4" s="64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64"/>
    </row>
    <row r="6" spans="1:13" ht="15.75" thickBot="1">
      <c r="A6" t="s">
        <v>101</v>
      </c>
      <c r="B6" s="61">
        <f>COUNTA(C6:J6)</f>
        <v>8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L6" s="77" t="s">
        <v>64</v>
      </c>
      <c r="M6" s="77"/>
    </row>
    <row r="7" spans="1:13" ht="39.75" customHeight="1">
      <c r="A7" s="73" t="s">
        <v>80</v>
      </c>
      <c r="B7" s="73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L7" s="43" t="s">
        <v>47</v>
      </c>
      <c r="M7" s="44" t="s">
        <v>48</v>
      </c>
    </row>
    <row r="8" spans="1:13" ht="39.7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L8" s="43" t="s">
        <v>53</v>
      </c>
      <c r="M8" s="44" t="s">
        <v>49</v>
      </c>
    </row>
    <row r="9" spans="1:13" ht="39.7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L9" s="43" t="s">
        <v>54</v>
      </c>
      <c r="M9" s="44" t="s">
        <v>52</v>
      </c>
    </row>
    <row r="10" spans="1:13" ht="39.7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L10" s="43" t="s">
        <v>55</v>
      </c>
      <c r="M10" s="44" t="s">
        <v>51</v>
      </c>
    </row>
    <row r="11" spans="1:13" ht="39.7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L11" s="43" t="s">
        <v>56</v>
      </c>
      <c r="M11" s="44" t="s">
        <v>50</v>
      </c>
    </row>
    <row r="12" spans="1:13" ht="39.75" customHeight="1" thickBot="1">
      <c r="A12" s="73" t="s">
        <v>46</v>
      </c>
      <c r="B12" s="73"/>
      <c r="C12" s="40">
        <f aca="true" t="shared" si="0" ref="C12:J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L12" s="43" t="s">
        <v>63</v>
      </c>
      <c r="M12" s="44" t="s">
        <v>65</v>
      </c>
    </row>
    <row r="13" spans="1:10" ht="36" customHeight="1" thickTop="1">
      <c r="A13" s="73" t="s">
        <v>62</v>
      </c>
      <c r="B13" s="73"/>
      <c r="C13" s="41">
        <f aca="true" t="shared" si="1" ref="C13:J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5</v>
      </c>
      <c r="E13" s="41">
        <f t="shared" si="1"/>
        <v>5</v>
      </c>
      <c r="F13" s="41">
        <f t="shared" si="1"/>
        <v>5</v>
      </c>
      <c r="G13" s="41">
        <f t="shared" si="1"/>
        <v>5</v>
      </c>
      <c r="H13" s="41">
        <f t="shared" si="1"/>
        <v>5</v>
      </c>
      <c r="I13" s="41">
        <f t="shared" si="1"/>
        <v>5</v>
      </c>
      <c r="J13" s="41">
        <f t="shared" si="1"/>
        <v>5</v>
      </c>
    </row>
    <row r="14" spans="1:10" ht="36" customHeight="1">
      <c r="A14" s="73" t="s">
        <v>61</v>
      </c>
      <c r="B14" s="73"/>
      <c r="C14" s="41">
        <f aca="true" t="shared" si="2" ref="C14:J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5</v>
      </c>
      <c r="D14" s="41">
        <f t="shared" si="2"/>
        <v>5</v>
      </c>
      <c r="E14" s="41">
        <f t="shared" si="2"/>
        <v>5</v>
      </c>
      <c r="F14" s="41">
        <f t="shared" si="2"/>
        <v>5</v>
      </c>
      <c r="G14" s="41">
        <f t="shared" si="2"/>
        <v>5</v>
      </c>
      <c r="H14" s="41">
        <f t="shared" si="2"/>
        <v>5</v>
      </c>
      <c r="I14" s="41">
        <f t="shared" si="2"/>
        <v>5</v>
      </c>
      <c r="J14" s="41">
        <f t="shared" si="2"/>
        <v>5</v>
      </c>
    </row>
    <row r="15" spans="1:10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</row>
    <row r="16" spans="1:5" ht="15">
      <c r="A16" s="2" t="s">
        <v>0</v>
      </c>
      <c r="B16" s="60" t="b">
        <v>1</v>
      </c>
      <c r="E16" s="6"/>
    </row>
    <row r="17" spans="1:10" ht="15">
      <c r="A17" t="s">
        <v>32</v>
      </c>
      <c r="C17" s="14">
        <v>44</v>
      </c>
      <c r="D17" s="14">
        <v>37</v>
      </c>
      <c r="E17" s="17">
        <v>44</v>
      </c>
      <c r="F17" s="14">
        <v>43</v>
      </c>
      <c r="G17" s="14">
        <v>40</v>
      </c>
      <c r="H17" s="14">
        <v>48</v>
      </c>
      <c r="I17" s="14">
        <v>35</v>
      </c>
      <c r="J17" s="14">
        <v>37</v>
      </c>
    </row>
    <row r="18" spans="1:10" ht="15" thickBot="1">
      <c r="A18" t="s">
        <v>81</v>
      </c>
      <c r="C18" s="20">
        <f>'RFP Price (Sample)'!B10</f>
        <v>0</v>
      </c>
      <c r="D18" s="20">
        <f>'RFP Price (Sample)'!C10</f>
        <v>0</v>
      </c>
      <c r="E18" s="20">
        <f>'RFP Price (Sample)'!D10</f>
        <v>0</v>
      </c>
      <c r="F18" s="20">
        <f>'RFP Price (Sample)'!E10</f>
        <v>0</v>
      </c>
      <c r="G18" s="20">
        <f>'RFP Price (Sample)'!F10</f>
        <v>0</v>
      </c>
      <c r="H18" s="20">
        <f>'RFP Price (Sample)'!G10</f>
        <v>0</v>
      </c>
      <c r="I18" s="20">
        <f>'RFP Price (Sample)'!H10</f>
        <v>0</v>
      </c>
      <c r="J18" s="20">
        <f>'RFP Price (Sample)'!I10</f>
        <v>0</v>
      </c>
    </row>
    <row r="19" spans="1:10" ht="14.25">
      <c r="A19" s="3" t="s">
        <v>4</v>
      </c>
      <c r="C19" s="14">
        <f aca="true" t="shared" si="3" ref="C19:I19">SUM(C17:C18)</f>
        <v>44</v>
      </c>
      <c r="D19" s="14">
        <f t="shared" si="3"/>
        <v>37</v>
      </c>
      <c r="E19" s="17">
        <f t="shared" si="3"/>
        <v>44</v>
      </c>
      <c r="F19" s="17">
        <f t="shared" si="3"/>
        <v>43</v>
      </c>
      <c r="G19" s="17">
        <f t="shared" si="3"/>
        <v>40</v>
      </c>
      <c r="H19" s="17">
        <f t="shared" si="3"/>
        <v>48</v>
      </c>
      <c r="I19" s="17">
        <f t="shared" si="3"/>
        <v>35</v>
      </c>
      <c r="J19" s="17">
        <f>SUM(J17:J18)</f>
        <v>37</v>
      </c>
    </row>
    <row r="20" spans="1:10" ht="14.25">
      <c r="A20" s="3" t="s">
        <v>41</v>
      </c>
      <c r="C20" s="14">
        <f aca="true" t="shared" si="4" ref="C20:J20">IF(Rater_1=TRUE,C19+Preference_Factor1,0)</f>
        <v>49</v>
      </c>
      <c r="D20" s="14">
        <f t="shared" si="4"/>
        <v>42</v>
      </c>
      <c r="E20" s="14">
        <f t="shared" si="4"/>
        <v>49</v>
      </c>
      <c r="F20" s="14">
        <f t="shared" si="4"/>
        <v>48</v>
      </c>
      <c r="G20" s="14">
        <f t="shared" si="4"/>
        <v>45</v>
      </c>
      <c r="H20" s="14">
        <f t="shared" si="4"/>
        <v>53</v>
      </c>
      <c r="I20" s="14">
        <f t="shared" si="4"/>
        <v>40</v>
      </c>
      <c r="J20" s="14">
        <f t="shared" si="4"/>
        <v>42</v>
      </c>
    </row>
    <row r="21" spans="1:10" ht="14.25">
      <c r="A21" s="1" t="s">
        <v>1</v>
      </c>
      <c r="B21" s="1"/>
      <c r="C21" s="16">
        <f aca="true" t="shared" si="5" ref="C21:I21">RANK(C20,Rater1,0)+((COUNT(Rater1)+1-RANK(C20,Rater1,0)-RANK(C20,Rater1,1))/2)</f>
        <v>2.5</v>
      </c>
      <c r="D21" s="16">
        <f t="shared" si="5"/>
        <v>6.5</v>
      </c>
      <c r="E21" s="16">
        <f t="shared" si="5"/>
        <v>2.5</v>
      </c>
      <c r="F21" s="16">
        <f t="shared" si="5"/>
        <v>4</v>
      </c>
      <c r="G21" s="16">
        <f t="shared" si="5"/>
        <v>5</v>
      </c>
      <c r="H21" s="16">
        <f t="shared" si="5"/>
        <v>1</v>
      </c>
      <c r="I21" s="16">
        <f t="shared" si="5"/>
        <v>8</v>
      </c>
      <c r="J21" s="16">
        <f>RANK(J20,Rater1,0)+((COUNT(Rater1)+1-RANK(J20,Rater1,0)-RANK(J20,Rater1,1))/2)</f>
        <v>6.5</v>
      </c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5" ht="15">
      <c r="A23" s="2" t="s">
        <v>2</v>
      </c>
      <c r="B23" s="60" t="b">
        <v>1</v>
      </c>
      <c r="E23" s="6"/>
    </row>
    <row r="24" spans="1:10" ht="15">
      <c r="A24" t="s">
        <v>32</v>
      </c>
      <c r="C24" s="14">
        <v>40</v>
      </c>
      <c r="D24" s="14">
        <v>46</v>
      </c>
      <c r="E24" s="17">
        <v>38</v>
      </c>
      <c r="F24" s="14">
        <v>40</v>
      </c>
      <c r="G24" s="14">
        <v>38</v>
      </c>
      <c r="H24" s="14">
        <v>50</v>
      </c>
      <c r="I24" s="14">
        <v>46</v>
      </c>
      <c r="J24" s="14">
        <v>48</v>
      </c>
    </row>
    <row r="25" spans="1:10" ht="15" thickBot="1">
      <c r="A25" t="s">
        <v>81</v>
      </c>
      <c r="C25" s="20">
        <f aca="true" t="shared" si="6" ref="C25:J25">IF(Rater_2=TRUE,C18,0)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</row>
    <row r="26" spans="1:12" ht="14.25">
      <c r="A26" s="3" t="s">
        <v>4</v>
      </c>
      <c r="C26" s="14">
        <f aca="true" t="shared" si="7" ref="C26:I26">SUM(C24:C25)</f>
        <v>40</v>
      </c>
      <c r="D26" s="14">
        <f t="shared" si="7"/>
        <v>46</v>
      </c>
      <c r="E26" s="17">
        <f t="shared" si="7"/>
        <v>38</v>
      </c>
      <c r="F26" s="14">
        <f t="shared" si="7"/>
        <v>40</v>
      </c>
      <c r="G26" s="14">
        <f t="shared" si="7"/>
        <v>38</v>
      </c>
      <c r="H26" s="14">
        <f t="shared" si="7"/>
        <v>50</v>
      </c>
      <c r="I26" s="14">
        <f t="shared" si="7"/>
        <v>46</v>
      </c>
      <c r="J26" s="14">
        <f>SUM(J24:J25)</f>
        <v>48</v>
      </c>
      <c r="L26" s="14"/>
    </row>
    <row r="27" spans="1:10" ht="14.25">
      <c r="A27" s="3" t="s">
        <v>41</v>
      </c>
      <c r="C27" s="14">
        <f aca="true" t="shared" si="8" ref="C27:J27">IF(Rater_2=TRUE,C26+Preference_Factor1,0)</f>
        <v>45</v>
      </c>
      <c r="D27" s="14">
        <f t="shared" si="8"/>
        <v>51</v>
      </c>
      <c r="E27" s="14">
        <f t="shared" si="8"/>
        <v>43</v>
      </c>
      <c r="F27" s="14">
        <f t="shared" si="8"/>
        <v>45</v>
      </c>
      <c r="G27" s="14">
        <f t="shared" si="8"/>
        <v>43</v>
      </c>
      <c r="H27" s="14">
        <f t="shared" si="8"/>
        <v>55</v>
      </c>
      <c r="I27" s="14">
        <f t="shared" si="8"/>
        <v>51</v>
      </c>
      <c r="J27" s="14">
        <f t="shared" si="8"/>
        <v>53</v>
      </c>
    </row>
    <row r="28" spans="1:10" ht="14.25">
      <c r="A28" s="1" t="s">
        <v>3</v>
      </c>
      <c r="B28" s="1"/>
      <c r="C28" s="16">
        <f aca="true" t="shared" si="9" ref="C28:I28">RANK(C27,Rater2,0)+((COUNT(Rater2)+1-RANK(C27,Rater2,0)-RANK(C27,Rater2,1))/2)</f>
        <v>5.5</v>
      </c>
      <c r="D28" s="16">
        <f t="shared" si="9"/>
        <v>3.5</v>
      </c>
      <c r="E28" s="16">
        <f t="shared" si="9"/>
        <v>7.5</v>
      </c>
      <c r="F28" s="16">
        <f t="shared" si="9"/>
        <v>5.5</v>
      </c>
      <c r="G28" s="16">
        <f t="shared" si="9"/>
        <v>7.5</v>
      </c>
      <c r="H28" s="16">
        <f t="shared" si="9"/>
        <v>1</v>
      </c>
      <c r="I28" s="16">
        <f t="shared" si="9"/>
        <v>3.5</v>
      </c>
      <c r="J28" s="16">
        <f>RANK(J27,Rater2,0)+((COUNT(Rater2)+1-RANK(J27,Rater2,0)-RANK(J27,Rater2,1))/2)</f>
        <v>2</v>
      </c>
    </row>
    <row r="29" spans="1:10" ht="15">
      <c r="A29" s="7"/>
      <c r="B29" s="8"/>
      <c r="C29" s="8"/>
      <c r="D29" s="8"/>
      <c r="E29" s="8"/>
      <c r="F29" s="8"/>
      <c r="G29" s="7"/>
      <c r="H29" s="7"/>
      <c r="I29" s="7"/>
      <c r="J29" s="7"/>
    </row>
    <row r="30" spans="1:5" ht="15">
      <c r="A30" s="2" t="s">
        <v>5</v>
      </c>
      <c r="B30" s="60" t="b">
        <v>1</v>
      </c>
      <c r="E30" s="6"/>
    </row>
    <row r="31" spans="1:10" ht="15">
      <c r="A31" t="s">
        <v>32</v>
      </c>
      <c r="C31" s="14">
        <v>48</v>
      </c>
      <c r="D31" s="14">
        <v>50</v>
      </c>
      <c r="E31" s="17">
        <v>46</v>
      </c>
      <c r="F31" s="14">
        <v>47</v>
      </c>
      <c r="G31" s="14">
        <v>46</v>
      </c>
      <c r="H31" s="14">
        <v>50</v>
      </c>
      <c r="I31" s="14">
        <v>46</v>
      </c>
      <c r="J31" s="14">
        <v>48</v>
      </c>
    </row>
    <row r="32" spans="1:10" ht="15" thickBot="1">
      <c r="A32" t="s">
        <v>81</v>
      </c>
      <c r="C32" s="20">
        <f aca="true" t="shared" si="10" ref="C32:J32">IF(Rater_3=TRUE,C18,0)</f>
        <v>0</v>
      </c>
      <c r="D32" s="20">
        <f t="shared" si="10"/>
        <v>0</v>
      </c>
      <c r="E32" s="20">
        <f t="shared" si="10"/>
        <v>0</v>
      </c>
      <c r="F32" s="20">
        <f t="shared" si="10"/>
        <v>0</v>
      </c>
      <c r="G32" s="20">
        <f t="shared" si="10"/>
        <v>0</v>
      </c>
      <c r="H32" s="20">
        <f t="shared" si="10"/>
        <v>0</v>
      </c>
      <c r="I32" s="20">
        <f t="shared" si="10"/>
        <v>0</v>
      </c>
      <c r="J32" s="20">
        <f t="shared" si="10"/>
        <v>0</v>
      </c>
    </row>
    <row r="33" spans="1:10" ht="14.25">
      <c r="A33" s="3" t="s">
        <v>4</v>
      </c>
      <c r="C33" s="14">
        <f aca="true" t="shared" si="11" ref="C33:I33">SUM(C31:C32)</f>
        <v>48</v>
      </c>
      <c r="D33" s="14">
        <f t="shared" si="11"/>
        <v>50</v>
      </c>
      <c r="E33" s="17">
        <f t="shared" si="11"/>
        <v>46</v>
      </c>
      <c r="F33" s="14">
        <f t="shared" si="11"/>
        <v>47</v>
      </c>
      <c r="G33" s="14">
        <f t="shared" si="11"/>
        <v>46</v>
      </c>
      <c r="H33" s="14">
        <f t="shared" si="11"/>
        <v>50</v>
      </c>
      <c r="I33" s="14">
        <f t="shared" si="11"/>
        <v>46</v>
      </c>
      <c r="J33" s="14">
        <f>SUM(J31:J32)</f>
        <v>48</v>
      </c>
    </row>
    <row r="34" spans="1:10" ht="14.25">
      <c r="A34" s="3" t="s">
        <v>41</v>
      </c>
      <c r="C34" s="14">
        <f aca="true" t="shared" si="12" ref="C34:J34">IF(Rater_3=TRUE,C33+Preference_Factor1,0)</f>
        <v>53</v>
      </c>
      <c r="D34" s="14">
        <f t="shared" si="12"/>
        <v>55</v>
      </c>
      <c r="E34" s="14">
        <f t="shared" si="12"/>
        <v>51</v>
      </c>
      <c r="F34" s="14">
        <f t="shared" si="12"/>
        <v>52</v>
      </c>
      <c r="G34" s="14">
        <f t="shared" si="12"/>
        <v>51</v>
      </c>
      <c r="H34" s="14">
        <f t="shared" si="12"/>
        <v>55</v>
      </c>
      <c r="I34" s="14">
        <f t="shared" si="12"/>
        <v>51</v>
      </c>
      <c r="J34" s="14">
        <f t="shared" si="12"/>
        <v>53</v>
      </c>
    </row>
    <row r="35" spans="1:10" ht="14.25">
      <c r="A35" s="1" t="s">
        <v>6</v>
      </c>
      <c r="B35" s="1"/>
      <c r="C35" s="16">
        <f aca="true" t="shared" si="13" ref="C35:I35">RANK(C34,Rater3,0)+((COUNT(Rater3)+1-RANK(C34,Rater3,0)-RANK(C34,Rater3,1))/2)</f>
        <v>3.5</v>
      </c>
      <c r="D35" s="16">
        <f t="shared" si="13"/>
        <v>1.5</v>
      </c>
      <c r="E35" s="16">
        <f t="shared" si="13"/>
        <v>7</v>
      </c>
      <c r="F35" s="16">
        <f t="shared" si="13"/>
        <v>5</v>
      </c>
      <c r="G35" s="16">
        <f t="shared" si="13"/>
        <v>7</v>
      </c>
      <c r="H35" s="16">
        <f t="shared" si="13"/>
        <v>1.5</v>
      </c>
      <c r="I35" s="16">
        <f t="shared" si="13"/>
        <v>7</v>
      </c>
      <c r="J35" s="16">
        <f>RANK(J34,Rater3,0)+((COUNT(Rater3)+1-RANK(J34,Rater3,0)-RANK(J34,Rater3,1))/2)</f>
        <v>3.5</v>
      </c>
    </row>
    <row r="36" spans="1:10" ht="14.25">
      <c r="A36" s="8"/>
      <c r="B36" s="8"/>
      <c r="C36" s="8"/>
      <c r="D36" s="8"/>
      <c r="E36" s="8"/>
      <c r="F36" s="8"/>
      <c r="G36" s="7"/>
      <c r="H36" s="7"/>
      <c r="I36" s="7"/>
      <c r="J36" s="7"/>
    </row>
    <row r="37" spans="1:5" ht="15">
      <c r="A37" s="2" t="s">
        <v>7</v>
      </c>
      <c r="B37" s="60" t="b">
        <v>1</v>
      </c>
      <c r="E37" s="6"/>
    </row>
    <row r="38" spans="1:10" ht="15">
      <c r="A38" t="s">
        <v>32</v>
      </c>
      <c r="C38" s="14">
        <v>46</v>
      </c>
      <c r="D38" s="14">
        <v>47</v>
      </c>
      <c r="E38" s="17">
        <v>44</v>
      </c>
      <c r="F38" s="14">
        <v>45</v>
      </c>
      <c r="G38" s="14">
        <v>42</v>
      </c>
      <c r="H38" s="14">
        <v>47</v>
      </c>
      <c r="I38" s="14">
        <v>45</v>
      </c>
      <c r="J38" s="14">
        <v>47</v>
      </c>
    </row>
    <row r="39" spans="1:10" ht="15" thickBot="1">
      <c r="A39" t="s">
        <v>81</v>
      </c>
      <c r="C39" s="20">
        <f aca="true" t="shared" si="14" ref="C39:J39">IF(Rater_4=TRUE,C18,0)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0">
        <f t="shared" si="14"/>
        <v>0</v>
      </c>
      <c r="H39" s="20">
        <f t="shared" si="14"/>
        <v>0</v>
      </c>
      <c r="I39" s="20">
        <f t="shared" si="14"/>
        <v>0</v>
      </c>
      <c r="J39" s="20">
        <f t="shared" si="14"/>
        <v>0</v>
      </c>
    </row>
    <row r="40" spans="1:10" ht="14.25">
      <c r="A40" s="3" t="s">
        <v>4</v>
      </c>
      <c r="C40" s="14">
        <f aca="true" t="shared" si="15" ref="C40:I40">SUM(C38:C39)</f>
        <v>46</v>
      </c>
      <c r="D40" s="14">
        <f t="shared" si="15"/>
        <v>47</v>
      </c>
      <c r="E40" s="17">
        <f t="shared" si="15"/>
        <v>44</v>
      </c>
      <c r="F40" s="14">
        <f t="shared" si="15"/>
        <v>45</v>
      </c>
      <c r="G40" s="14">
        <f t="shared" si="15"/>
        <v>42</v>
      </c>
      <c r="H40" s="14">
        <f t="shared" si="15"/>
        <v>47</v>
      </c>
      <c r="I40" s="14">
        <f t="shared" si="15"/>
        <v>45</v>
      </c>
      <c r="J40" s="14">
        <f>SUM(J38:J39)</f>
        <v>47</v>
      </c>
    </row>
    <row r="41" spans="1:10" ht="14.25">
      <c r="A41" s="3" t="s">
        <v>41</v>
      </c>
      <c r="C41" s="14">
        <f aca="true" t="shared" si="16" ref="C41:J41">IF(Rater_4=TRUE,C40+Preference_Factor1,0)</f>
        <v>51</v>
      </c>
      <c r="D41" s="14">
        <f t="shared" si="16"/>
        <v>52</v>
      </c>
      <c r="E41" s="14">
        <f t="shared" si="16"/>
        <v>49</v>
      </c>
      <c r="F41" s="14">
        <f t="shared" si="16"/>
        <v>50</v>
      </c>
      <c r="G41" s="14">
        <f t="shared" si="16"/>
        <v>47</v>
      </c>
      <c r="H41" s="14">
        <f t="shared" si="16"/>
        <v>52</v>
      </c>
      <c r="I41" s="14">
        <f t="shared" si="16"/>
        <v>50</v>
      </c>
      <c r="J41" s="14">
        <f t="shared" si="16"/>
        <v>52</v>
      </c>
    </row>
    <row r="42" spans="1:10" ht="14.25">
      <c r="A42" s="1" t="s">
        <v>8</v>
      </c>
      <c r="C42" s="16">
        <f aca="true" t="shared" si="17" ref="C42:I42">RANK(C41,Rater4,0)+((COUNT(Rater4)+1-RANK(C41,Rater4,0)-RANK(C41,Rater4,1))/2)</f>
        <v>4</v>
      </c>
      <c r="D42" s="16">
        <f t="shared" si="17"/>
        <v>2</v>
      </c>
      <c r="E42" s="16">
        <f t="shared" si="17"/>
        <v>7</v>
      </c>
      <c r="F42" s="16">
        <f t="shared" si="17"/>
        <v>5.5</v>
      </c>
      <c r="G42" s="16">
        <f t="shared" si="17"/>
        <v>8</v>
      </c>
      <c r="H42" s="16">
        <f t="shared" si="17"/>
        <v>2</v>
      </c>
      <c r="I42" s="16">
        <f t="shared" si="17"/>
        <v>5.5</v>
      </c>
      <c r="J42" s="16">
        <f>RANK(J41,Rater4,0)+((COUNT(Rater4)+1-RANK(J41,Rater4,0)-RANK(J41,Rater4,1))/2)</f>
        <v>2</v>
      </c>
    </row>
    <row r="43" spans="1:10" ht="14.25">
      <c r="A43" s="8"/>
      <c r="B43" s="8"/>
      <c r="C43" s="8"/>
      <c r="D43" s="8"/>
      <c r="E43" s="8"/>
      <c r="F43" s="8"/>
      <c r="G43" s="7"/>
      <c r="H43" s="7"/>
      <c r="I43" s="7"/>
      <c r="J43" s="7"/>
    </row>
    <row r="44" spans="1:5" ht="15">
      <c r="A44" s="2" t="s">
        <v>78</v>
      </c>
      <c r="B44" s="60" t="b">
        <v>0</v>
      </c>
      <c r="E44" s="6"/>
    </row>
    <row r="45" spans="1:10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1" s="6" customFormat="1" ht="15" thickBot="1">
      <c r="A46" t="s">
        <v>81</v>
      </c>
      <c r="B46"/>
      <c r="C46" s="20">
        <f aca="true" t="shared" si="18" ref="C46:J46">IF(Rater_5=TRUE,C18,0)</f>
        <v>0</v>
      </c>
      <c r="D46" s="20">
        <f t="shared" si="18"/>
        <v>0</v>
      </c>
      <c r="E46" s="20">
        <f t="shared" si="18"/>
        <v>0</v>
      </c>
      <c r="F46" s="20">
        <f t="shared" si="18"/>
        <v>0</v>
      </c>
      <c r="G46" s="20">
        <f t="shared" si="18"/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22"/>
    </row>
    <row r="47" spans="1:10" ht="14.25">
      <c r="A47" s="3" t="s">
        <v>4</v>
      </c>
      <c r="C47" s="14">
        <f aca="true" t="shared" si="19" ref="C47:I47">SUM(C45:C46)</f>
        <v>0</v>
      </c>
      <c r="D47" s="14">
        <f t="shared" si="19"/>
        <v>0</v>
      </c>
      <c r="E47" s="17">
        <f t="shared" si="19"/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>SUM(J45:J46)</f>
        <v>0</v>
      </c>
    </row>
    <row r="48" spans="1:10" ht="14.25">
      <c r="A48" s="3" t="s">
        <v>41</v>
      </c>
      <c r="C48" s="14">
        <f aca="true" t="shared" si="20" ref="C48:J48">IF(Rater_5=TRUE,C47+Preference_Factor1,0)</f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</row>
    <row r="49" spans="1:10" ht="14.25">
      <c r="A49" s="1" t="s">
        <v>79</v>
      </c>
      <c r="C49" s="16">
        <f aca="true" t="shared" si="21" ref="C49:J49">RANK(C48,Rater5,0)+((COUNT(Rater5)+1-RANK(C48,Rater5,0)-RANK(C48,Rater5,1))/2)</f>
        <v>4.5</v>
      </c>
      <c r="D49" s="16">
        <f t="shared" si="21"/>
        <v>4.5</v>
      </c>
      <c r="E49" s="16">
        <f t="shared" si="21"/>
        <v>4.5</v>
      </c>
      <c r="F49" s="16">
        <f t="shared" si="21"/>
        <v>4.5</v>
      </c>
      <c r="G49" s="16">
        <f t="shared" si="21"/>
        <v>4.5</v>
      </c>
      <c r="H49" s="16">
        <f t="shared" si="21"/>
        <v>4.5</v>
      </c>
      <c r="I49" s="16">
        <f t="shared" si="21"/>
        <v>4.5</v>
      </c>
      <c r="J49" s="16">
        <f t="shared" si="21"/>
        <v>4.5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10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</row>
    <row r="54" ht="14.25">
      <c r="E54" s="6"/>
    </row>
    <row r="55" spans="1:10" ht="14.25">
      <c r="A55" t="s">
        <v>9</v>
      </c>
      <c r="C55" s="14">
        <f aca="true" t="shared" si="22" ref="C55:J55">IF(Rater_1=TRUE,C21,0)</f>
        <v>2.5</v>
      </c>
      <c r="D55" s="14">
        <f t="shared" si="22"/>
        <v>6.5</v>
      </c>
      <c r="E55" s="14">
        <f t="shared" si="22"/>
        <v>2.5</v>
      </c>
      <c r="F55" s="14">
        <f t="shared" si="22"/>
        <v>4</v>
      </c>
      <c r="G55" s="14">
        <f t="shared" si="22"/>
        <v>5</v>
      </c>
      <c r="H55" s="14">
        <f t="shared" si="22"/>
        <v>1</v>
      </c>
      <c r="I55" s="14">
        <f t="shared" si="22"/>
        <v>8</v>
      </c>
      <c r="J55" s="14">
        <f t="shared" si="22"/>
        <v>6.5</v>
      </c>
    </row>
    <row r="56" spans="1:10" ht="14.25">
      <c r="A56" t="s">
        <v>22</v>
      </c>
      <c r="C56" s="14">
        <f aca="true" t="shared" si="23" ref="C56:J56">IF(Rater_2=TRUE,C28,0)</f>
        <v>5.5</v>
      </c>
      <c r="D56" s="14">
        <f t="shared" si="23"/>
        <v>3.5</v>
      </c>
      <c r="E56" s="14">
        <f t="shared" si="23"/>
        <v>7.5</v>
      </c>
      <c r="F56" s="14">
        <f t="shared" si="23"/>
        <v>5.5</v>
      </c>
      <c r="G56" s="14">
        <f t="shared" si="23"/>
        <v>7.5</v>
      </c>
      <c r="H56" s="14">
        <f t="shared" si="23"/>
        <v>1</v>
      </c>
      <c r="I56" s="14">
        <f t="shared" si="23"/>
        <v>3.5</v>
      </c>
      <c r="J56" s="14">
        <f t="shared" si="23"/>
        <v>2</v>
      </c>
    </row>
    <row r="57" spans="1:10" ht="14.25">
      <c r="A57" t="s">
        <v>10</v>
      </c>
      <c r="C57" s="14">
        <f aca="true" t="shared" si="24" ref="C57:J57">IF(Rater_3=TRUE,C35,0)</f>
        <v>3.5</v>
      </c>
      <c r="D57" s="14">
        <f t="shared" si="24"/>
        <v>1.5</v>
      </c>
      <c r="E57" s="14">
        <f t="shared" si="24"/>
        <v>7</v>
      </c>
      <c r="F57" s="14">
        <f t="shared" si="24"/>
        <v>5</v>
      </c>
      <c r="G57" s="14">
        <f t="shared" si="24"/>
        <v>7</v>
      </c>
      <c r="H57" s="14">
        <f t="shared" si="24"/>
        <v>1.5</v>
      </c>
      <c r="I57" s="14">
        <f t="shared" si="24"/>
        <v>7</v>
      </c>
      <c r="J57" s="14">
        <f t="shared" si="24"/>
        <v>3.5</v>
      </c>
    </row>
    <row r="58" spans="1:10" ht="14.25">
      <c r="A58" t="s">
        <v>11</v>
      </c>
      <c r="C58" s="14">
        <f aca="true" t="shared" si="25" ref="C58:J58">IF(Rater_4=TRUE,C42,0)</f>
        <v>4</v>
      </c>
      <c r="D58" s="14">
        <f t="shared" si="25"/>
        <v>2</v>
      </c>
      <c r="E58" s="14">
        <f t="shared" si="25"/>
        <v>7</v>
      </c>
      <c r="F58" s="14">
        <f t="shared" si="25"/>
        <v>5.5</v>
      </c>
      <c r="G58" s="14">
        <f t="shared" si="25"/>
        <v>8</v>
      </c>
      <c r="H58" s="14">
        <f t="shared" si="25"/>
        <v>2</v>
      </c>
      <c r="I58" s="14">
        <f t="shared" si="25"/>
        <v>5.5</v>
      </c>
      <c r="J58" s="14">
        <f t="shared" si="25"/>
        <v>2</v>
      </c>
    </row>
    <row r="59" spans="1:10" ht="14.25">
      <c r="A59" t="s">
        <v>82</v>
      </c>
      <c r="C59" s="14">
        <f aca="true" t="shared" si="26" ref="C59:J59">IF(Rater_5=TRUE,C49,0)</f>
        <v>0</v>
      </c>
      <c r="D59" s="14">
        <f t="shared" si="26"/>
        <v>0</v>
      </c>
      <c r="E59" s="14">
        <f t="shared" si="26"/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</row>
    <row r="60" spans="2:10" ht="14.25">
      <c r="B60" s="1" t="s">
        <v>16</v>
      </c>
      <c r="C60" s="16">
        <f aca="true" t="shared" si="27" ref="C60:I60">SUM(C55:C59)</f>
        <v>15.5</v>
      </c>
      <c r="D60" s="16">
        <f t="shared" si="27"/>
        <v>13.5</v>
      </c>
      <c r="E60" s="16">
        <f t="shared" si="27"/>
        <v>24</v>
      </c>
      <c r="F60" s="16">
        <f t="shared" si="27"/>
        <v>20</v>
      </c>
      <c r="G60" s="16">
        <f t="shared" si="27"/>
        <v>27.5</v>
      </c>
      <c r="H60" s="16">
        <f t="shared" si="27"/>
        <v>5.5</v>
      </c>
      <c r="I60" s="16">
        <f t="shared" si="27"/>
        <v>24</v>
      </c>
      <c r="J60" s="16">
        <f>SUM(J55:J59)</f>
        <v>14</v>
      </c>
    </row>
    <row r="61" spans="3:10" ht="14.25">
      <c r="C61" s="11"/>
      <c r="D61" s="11"/>
      <c r="E61" s="11"/>
      <c r="F61" s="11"/>
      <c r="G61" s="11"/>
      <c r="H61" s="11"/>
      <c r="I61" s="11"/>
      <c r="J61" s="11"/>
    </row>
    <row r="62" spans="1:10" ht="14.25">
      <c r="A62" s="1"/>
      <c r="B62" s="1"/>
      <c r="C62" s="12"/>
      <c r="D62" s="12"/>
      <c r="E62" s="12"/>
      <c r="F62" s="12"/>
      <c r="G62" s="12"/>
      <c r="H62" s="12"/>
      <c r="I62" s="12"/>
      <c r="J62" s="12"/>
    </row>
    <row r="63" spans="3:6" ht="14.25">
      <c r="C63" s="11"/>
      <c r="D63" s="11"/>
      <c r="E63" s="13"/>
      <c r="F63" s="13"/>
    </row>
    <row r="64" spans="1:10" ht="14.25">
      <c r="A64" s="1" t="s">
        <v>13</v>
      </c>
      <c r="B64" s="1"/>
      <c r="C64" s="16">
        <f aca="true" t="shared" si="28" ref="C64:J64">RANK(C60,Shortlist_rank,1)+((COUNT(Shortlist_rank)+1-RANK(C60,Shortlist_rank,0)-RANK(C60,Shortlist_rank,1))/2)</f>
        <v>4</v>
      </c>
      <c r="D64" s="16">
        <f t="shared" si="28"/>
        <v>2</v>
      </c>
      <c r="E64" s="16">
        <f t="shared" si="28"/>
        <v>6.5</v>
      </c>
      <c r="F64" s="16">
        <f t="shared" si="28"/>
        <v>5</v>
      </c>
      <c r="G64" s="16">
        <f t="shared" si="28"/>
        <v>8</v>
      </c>
      <c r="H64" s="16">
        <f t="shared" si="28"/>
        <v>1</v>
      </c>
      <c r="I64" s="16">
        <f t="shared" si="28"/>
        <v>6.5</v>
      </c>
      <c r="J64" s="16">
        <f t="shared" si="28"/>
        <v>3</v>
      </c>
    </row>
    <row r="65" ht="14.25">
      <c r="A65" t="s">
        <v>21</v>
      </c>
    </row>
    <row r="67" spans="1:10" ht="15">
      <c r="A67" t="s">
        <v>28</v>
      </c>
      <c r="C67" s="70" t="b">
        <v>1</v>
      </c>
      <c r="D67" s="55" t="b">
        <v>1</v>
      </c>
      <c r="E67" s="55" t="b">
        <v>0</v>
      </c>
      <c r="F67" s="55" t="b">
        <v>0</v>
      </c>
      <c r="G67" s="55" t="b">
        <v>0</v>
      </c>
      <c r="H67" s="55" t="b">
        <v>1</v>
      </c>
      <c r="I67" s="55" t="b">
        <v>0</v>
      </c>
      <c r="J67" s="55" t="b">
        <v>0</v>
      </c>
    </row>
    <row r="68" spans="1:2" ht="15">
      <c r="A68" s="59" t="s">
        <v>77</v>
      </c>
      <c r="B68" s="59"/>
    </row>
    <row r="69" spans="1:10" ht="15" thickBot="1">
      <c r="A69" s="76" t="s">
        <v>27</v>
      </c>
      <c r="B69" s="76"/>
      <c r="C69" s="76"/>
      <c r="D69" s="76"/>
      <c r="E69" s="76"/>
      <c r="F69" s="76"/>
      <c r="G69" s="30"/>
      <c r="H69" s="30"/>
      <c r="I69" s="30"/>
      <c r="J69" s="30"/>
    </row>
    <row r="70" spans="1:10" s="56" customFormat="1" ht="14.25">
      <c r="A70" s="26" t="s">
        <v>23</v>
      </c>
      <c r="B70" s="26"/>
      <c r="C70" s="27">
        <f>C20+C27+C34+C41+C48</f>
        <v>198</v>
      </c>
      <c r="D70" s="27">
        <f aca="true" t="shared" si="29" ref="D70:J70">D20+D27+D34+D41+D48</f>
        <v>200</v>
      </c>
      <c r="E70" s="27">
        <f t="shared" si="29"/>
        <v>192</v>
      </c>
      <c r="F70" s="27">
        <f t="shared" si="29"/>
        <v>195</v>
      </c>
      <c r="G70" s="27">
        <f t="shared" si="29"/>
        <v>186</v>
      </c>
      <c r="H70" s="27">
        <f t="shared" si="29"/>
        <v>215</v>
      </c>
      <c r="I70" s="27">
        <f t="shared" si="29"/>
        <v>192</v>
      </c>
      <c r="J70" s="27">
        <f t="shared" si="29"/>
        <v>200</v>
      </c>
    </row>
    <row r="71" spans="1:10" s="56" customFormat="1" ht="14.25">
      <c r="A71" s="26" t="s">
        <v>25</v>
      </c>
      <c r="B71" s="26"/>
      <c r="C71" s="27">
        <f>RANK(C70,C70:J70,0)</f>
        <v>4</v>
      </c>
      <c r="D71" s="27">
        <f>RANK(D70,C70:J70,0)</f>
        <v>2</v>
      </c>
      <c r="E71" s="27">
        <f>RANK(E70,C70:J70,0)</f>
        <v>6</v>
      </c>
      <c r="F71" s="27">
        <f>RANK(F70,C70:J70,0)</f>
        <v>5</v>
      </c>
      <c r="G71" s="27">
        <f>RANK(G70,C70:J70,0)</f>
        <v>8</v>
      </c>
      <c r="H71" s="27">
        <f>RANK(H70,C70:J70,0)</f>
        <v>1</v>
      </c>
      <c r="I71" s="27">
        <f>RANK(I70,C70:J70,0)</f>
        <v>6</v>
      </c>
      <c r="J71" s="27">
        <f>RANK(J70,C70:J70,0)</f>
        <v>2</v>
      </c>
    </row>
    <row r="72" spans="1:10" ht="14.25">
      <c r="A72" s="26" t="s">
        <v>24</v>
      </c>
      <c r="B72" s="26"/>
      <c r="C72" s="27">
        <f aca="true" t="shared" si="30" ref="C72:J72">C70/Raters</f>
        <v>49.5</v>
      </c>
      <c r="D72" s="27">
        <f t="shared" si="30"/>
        <v>50</v>
      </c>
      <c r="E72" s="27">
        <f t="shared" si="30"/>
        <v>48</v>
      </c>
      <c r="F72" s="27">
        <f t="shared" si="30"/>
        <v>48.75</v>
      </c>
      <c r="G72" s="27">
        <f t="shared" si="30"/>
        <v>46.5</v>
      </c>
      <c r="H72" s="27">
        <f t="shared" si="30"/>
        <v>53.75</v>
      </c>
      <c r="I72" s="27">
        <f t="shared" si="30"/>
        <v>48</v>
      </c>
      <c r="J72" s="27">
        <f t="shared" si="30"/>
        <v>50</v>
      </c>
    </row>
    <row r="73" spans="1:10" ht="14.25">
      <c r="A73" s="26" t="s">
        <v>26</v>
      </c>
      <c r="B73" s="26"/>
      <c r="C73" s="27">
        <f aca="true" t="shared" si="31" ref="C73:J73">RANK(C72,AVG_Score,0)</f>
        <v>4</v>
      </c>
      <c r="D73" s="27">
        <f t="shared" si="31"/>
        <v>2</v>
      </c>
      <c r="E73" s="27">
        <f t="shared" si="31"/>
        <v>6</v>
      </c>
      <c r="F73" s="27">
        <f t="shared" si="31"/>
        <v>5</v>
      </c>
      <c r="G73" s="27">
        <f t="shared" si="31"/>
        <v>8</v>
      </c>
      <c r="H73" s="27">
        <f t="shared" si="31"/>
        <v>1</v>
      </c>
      <c r="I73" s="27">
        <f t="shared" si="31"/>
        <v>6</v>
      </c>
      <c r="J73" s="27">
        <f t="shared" si="31"/>
        <v>2</v>
      </c>
    </row>
    <row r="75" spans="1:10" ht="14.25">
      <c r="A75" s="75" t="s">
        <v>14</v>
      </c>
      <c r="B75" s="75"/>
      <c r="C75" s="75"/>
      <c r="D75" s="75"/>
      <c r="E75" s="75"/>
      <c r="F75" s="75"/>
      <c r="G75" s="32"/>
      <c r="H75" s="32"/>
      <c r="I75" s="32"/>
      <c r="J75" s="32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21" t="str">
        <f>IF(C67=TRUE,C6,"N/A")</f>
        <v>Firm A</v>
      </c>
      <c r="D77" s="21" t="str">
        <f aca="true" t="shared" si="32" ref="D77:J77">IF(D67=TRUE,D6,"N/A")</f>
        <v>Firm B</v>
      </c>
      <c r="E77" s="21" t="str">
        <f t="shared" si="32"/>
        <v>N/A</v>
      </c>
      <c r="F77" s="21" t="str">
        <f t="shared" si="32"/>
        <v>N/A</v>
      </c>
      <c r="G77" s="21" t="str">
        <f t="shared" si="32"/>
        <v>N/A</v>
      </c>
      <c r="H77" s="21" t="str">
        <f t="shared" si="32"/>
        <v>Firm F</v>
      </c>
      <c r="I77" s="21" t="str">
        <f t="shared" si="32"/>
        <v>N/A</v>
      </c>
      <c r="J77" s="21" t="str">
        <f t="shared" si="32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10" ht="15">
      <c r="A79" s="6" t="s">
        <v>15</v>
      </c>
      <c r="B79" s="62"/>
      <c r="C79" s="23">
        <v>86</v>
      </c>
      <c r="D79" s="23">
        <v>80</v>
      </c>
      <c r="E79" s="23">
        <v>0</v>
      </c>
      <c r="F79" s="23">
        <v>0</v>
      </c>
      <c r="G79" s="23">
        <v>0</v>
      </c>
      <c r="H79" s="23">
        <v>89</v>
      </c>
      <c r="I79" s="23">
        <v>0</v>
      </c>
      <c r="J79" s="23">
        <v>0</v>
      </c>
    </row>
    <row r="80" spans="1:10" ht="14.25">
      <c r="A80" s="3" t="s">
        <v>41</v>
      </c>
      <c r="B80" s="62"/>
      <c r="C80" s="14">
        <f aca="true" t="shared" si="33" ref="C80:I80">IF(C79=0,0,C79+Preference_Factor2)</f>
        <v>91</v>
      </c>
      <c r="D80" s="14">
        <f t="shared" si="33"/>
        <v>85</v>
      </c>
      <c r="E80" s="14">
        <f t="shared" si="33"/>
        <v>0</v>
      </c>
      <c r="F80" s="14">
        <f t="shared" si="33"/>
        <v>0</v>
      </c>
      <c r="G80" s="14">
        <f t="shared" si="33"/>
        <v>0</v>
      </c>
      <c r="H80" s="14">
        <f t="shared" si="33"/>
        <v>94</v>
      </c>
      <c r="I80" s="14">
        <f t="shared" si="33"/>
        <v>0</v>
      </c>
      <c r="J80" s="14">
        <f>IF(J79=0,0,J79+Preference_Factor2)</f>
        <v>0</v>
      </c>
    </row>
    <row r="81" spans="1:10" ht="14.25">
      <c r="A81" s="6" t="s">
        <v>12</v>
      </c>
      <c r="B81" s="62"/>
      <c r="C81" s="28">
        <f aca="true" t="shared" si="34" ref="C81:I81">RANK(C80,Rater1B,0)+((COUNT(Rater1B)+1-RANK(C80,Rater1B,0)-RANK(C80,Rater1B,1))/2)</f>
        <v>2</v>
      </c>
      <c r="D81" s="28">
        <f t="shared" si="34"/>
        <v>3</v>
      </c>
      <c r="E81" s="28">
        <f t="shared" si="34"/>
        <v>6</v>
      </c>
      <c r="F81" s="28">
        <f t="shared" si="34"/>
        <v>6</v>
      </c>
      <c r="G81" s="28">
        <f t="shared" si="34"/>
        <v>6</v>
      </c>
      <c r="H81" s="28">
        <f t="shared" si="34"/>
        <v>1</v>
      </c>
      <c r="I81" s="28">
        <f t="shared" si="34"/>
        <v>6</v>
      </c>
      <c r="J81" s="28">
        <f>RANK(J80,Rater1B,0)+((COUNT(Rater1B)+1-RANK(J80,Rater1B,0)-RANK(J80,Rater1B,1))/2)</f>
        <v>6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10" ht="15">
      <c r="A84" s="6" t="s">
        <v>15</v>
      </c>
      <c r="B84" s="62"/>
      <c r="C84" s="23">
        <v>90</v>
      </c>
      <c r="D84" s="23">
        <v>70</v>
      </c>
      <c r="E84" s="23">
        <v>0</v>
      </c>
      <c r="F84" s="23">
        <v>0</v>
      </c>
      <c r="G84" s="23">
        <v>0</v>
      </c>
      <c r="H84" s="23">
        <v>90</v>
      </c>
      <c r="I84" s="23">
        <v>0</v>
      </c>
      <c r="J84" s="23">
        <v>0</v>
      </c>
    </row>
    <row r="85" spans="1:10" ht="14.25">
      <c r="A85" s="3" t="s">
        <v>41</v>
      </c>
      <c r="B85" s="62"/>
      <c r="C85" s="14">
        <f aca="true" t="shared" si="35" ref="C85:I85">IF(C84=0,0,C84+Preference_Factor2)</f>
        <v>95</v>
      </c>
      <c r="D85" s="14">
        <f t="shared" si="35"/>
        <v>75</v>
      </c>
      <c r="E85" s="14">
        <f t="shared" si="35"/>
        <v>0</v>
      </c>
      <c r="F85" s="14">
        <f t="shared" si="35"/>
        <v>0</v>
      </c>
      <c r="G85" s="14">
        <f t="shared" si="35"/>
        <v>0</v>
      </c>
      <c r="H85" s="14">
        <f t="shared" si="35"/>
        <v>95</v>
      </c>
      <c r="I85" s="14">
        <f t="shared" si="35"/>
        <v>0</v>
      </c>
      <c r="J85" s="14">
        <f>IF(J84=0,0,J84+Preference_Factor2)</f>
        <v>0</v>
      </c>
    </row>
    <row r="86" spans="1:10" ht="14.25">
      <c r="A86" s="6" t="s">
        <v>12</v>
      </c>
      <c r="B86" s="62"/>
      <c r="C86" s="28">
        <f aca="true" t="shared" si="36" ref="C86:I86">RANK(C85,Rater2B,0)+((COUNT(Rater2B)+1-RANK(C85,Rater2B,0)-RANK(C85,Rater2B,1))/2)</f>
        <v>1.5</v>
      </c>
      <c r="D86" s="28">
        <f t="shared" si="36"/>
        <v>3</v>
      </c>
      <c r="E86" s="28">
        <f t="shared" si="36"/>
        <v>6</v>
      </c>
      <c r="F86" s="28">
        <f t="shared" si="36"/>
        <v>6</v>
      </c>
      <c r="G86" s="28">
        <f t="shared" si="36"/>
        <v>6</v>
      </c>
      <c r="H86" s="28">
        <f t="shared" si="36"/>
        <v>1.5</v>
      </c>
      <c r="I86" s="28">
        <f t="shared" si="36"/>
        <v>6</v>
      </c>
      <c r="J86" s="28">
        <f>RANK(J85,Rater2B,0)+((COUNT(Rater2B)+1-RANK(J85,Rater2B,0)-RANK(J85,Rater2B,1))/2)</f>
        <v>6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10" ht="15">
      <c r="A89" s="6" t="s">
        <v>15</v>
      </c>
      <c r="B89" s="62"/>
      <c r="C89" s="23">
        <v>100</v>
      </c>
      <c r="D89" s="23">
        <v>75</v>
      </c>
      <c r="E89" s="23">
        <v>0</v>
      </c>
      <c r="F89" s="23">
        <v>0</v>
      </c>
      <c r="G89" s="23">
        <v>0</v>
      </c>
      <c r="H89" s="23">
        <v>90</v>
      </c>
      <c r="I89" s="23">
        <v>0</v>
      </c>
      <c r="J89" s="23">
        <v>0</v>
      </c>
    </row>
    <row r="90" spans="1:10" ht="14.25">
      <c r="A90" s="3" t="s">
        <v>41</v>
      </c>
      <c r="B90" s="62"/>
      <c r="C90" s="14">
        <f aca="true" t="shared" si="37" ref="C90:I90">IF(C89=0,0,C89+Preference_Factor2)</f>
        <v>105</v>
      </c>
      <c r="D90" s="14">
        <f t="shared" si="37"/>
        <v>80</v>
      </c>
      <c r="E90" s="14">
        <f t="shared" si="37"/>
        <v>0</v>
      </c>
      <c r="F90" s="14">
        <f t="shared" si="37"/>
        <v>0</v>
      </c>
      <c r="G90" s="14">
        <f t="shared" si="37"/>
        <v>0</v>
      </c>
      <c r="H90" s="14">
        <f t="shared" si="37"/>
        <v>95</v>
      </c>
      <c r="I90" s="14">
        <f t="shared" si="37"/>
        <v>0</v>
      </c>
      <c r="J90" s="14">
        <f>IF(J89=0,0,J89+Preference_Factor2)</f>
        <v>0</v>
      </c>
    </row>
    <row r="91" spans="1:10" ht="14.25">
      <c r="A91" s="6" t="s">
        <v>12</v>
      </c>
      <c r="B91" s="62"/>
      <c r="C91" s="28">
        <f aca="true" t="shared" si="38" ref="C91:I91">RANK(C90,Rater3B,0)+((COUNT(Rater3B)+1-RANK(C90,Rater3B,0)-RANK(C90,Rater3B,1))/2)</f>
        <v>1</v>
      </c>
      <c r="D91" s="28">
        <f t="shared" si="38"/>
        <v>3</v>
      </c>
      <c r="E91" s="28">
        <f t="shared" si="38"/>
        <v>6</v>
      </c>
      <c r="F91" s="28">
        <f t="shared" si="38"/>
        <v>6</v>
      </c>
      <c r="G91" s="28">
        <f t="shared" si="38"/>
        <v>6</v>
      </c>
      <c r="H91" s="28">
        <f t="shared" si="38"/>
        <v>2</v>
      </c>
      <c r="I91" s="28">
        <f t="shared" si="38"/>
        <v>6</v>
      </c>
      <c r="J91" s="28">
        <f>RANK(J90,Rater3B,0)+((COUNT(Rater3B)+1-RANK(J90,Rater3B,0)-RANK(J90,Rater3B,1))/2)</f>
        <v>6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10" ht="15">
      <c r="A94" s="6" t="s">
        <v>15</v>
      </c>
      <c r="B94" s="62"/>
      <c r="C94" s="23">
        <v>100</v>
      </c>
      <c r="D94" s="23">
        <v>90</v>
      </c>
      <c r="E94" s="23">
        <v>0</v>
      </c>
      <c r="F94" s="23">
        <v>0</v>
      </c>
      <c r="G94" s="23">
        <v>0</v>
      </c>
      <c r="H94" s="23">
        <v>100</v>
      </c>
      <c r="I94" s="23">
        <v>0</v>
      </c>
      <c r="J94" s="23">
        <v>0</v>
      </c>
    </row>
    <row r="95" spans="1:10" ht="14.25">
      <c r="A95" s="3" t="s">
        <v>41</v>
      </c>
      <c r="B95" s="62"/>
      <c r="C95" s="14">
        <f aca="true" t="shared" si="39" ref="C95:I95">IF(C94=0,0,C94+Preference_Factor2)</f>
        <v>105</v>
      </c>
      <c r="D95" s="14">
        <f t="shared" si="39"/>
        <v>95</v>
      </c>
      <c r="E95" s="14">
        <f t="shared" si="39"/>
        <v>0</v>
      </c>
      <c r="F95" s="14">
        <f t="shared" si="39"/>
        <v>0</v>
      </c>
      <c r="G95" s="14">
        <f t="shared" si="39"/>
        <v>0</v>
      </c>
      <c r="H95" s="14">
        <f t="shared" si="39"/>
        <v>105</v>
      </c>
      <c r="I95" s="14">
        <f t="shared" si="39"/>
        <v>0</v>
      </c>
      <c r="J95" s="14">
        <f>IF(J94=0,0,J94+Preference_Factor2)</f>
        <v>0</v>
      </c>
    </row>
    <row r="96" spans="1:10" ht="14.25">
      <c r="A96" s="6" t="s">
        <v>12</v>
      </c>
      <c r="B96" s="62"/>
      <c r="C96" s="28">
        <f aca="true" t="shared" si="40" ref="C96:I96">RANK(C95,Rater4B,0)+((COUNT(Rater4B)+1-RANK(C95,Rater4B,0)-RANK(C95,Rater4B,1))/2)</f>
        <v>1.5</v>
      </c>
      <c r="D96" s="28">
        <f t="shared" si="40"/>
        <v>3</v>
      </c>
      <c r="E96" s="28">
        <f t="shared" si="40"/>
        <v>6</v>
      </c>
      <c r="F96" s="28">
        <f t="shared" si="40"/>
        <v>6</v>
      </c>
      <c r="G96" s="28">
        <f t="shared" si="40"/>
        <v>6</v>
      </c>
      <c r="H96" s="28">
        <f t="shared" si="40"/>
        <v>1.5</v>
      </c>
      <c r="I96" s="28">
        <f t="shared" si="40"/>
        <v>6</v>
      </c>
      <c r="J96" s="28">
        <f>RANK(J95,Rater4B,0)+((COUNT(Rater4B)+1-RANK(J95,Rater4B,0)-RANK(J95,Rater4B,1))/2)</f>
        <v>6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10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4.25">
      <c r="A100" s="3" t="s">
        <v>41</v>
      </c>
      <c r="B100" s="6"/>
      <c r="C100" s="14">
        <f aca="true" t="shared" si="41" ref="C100:H100">IF(C99=0,0,C99+Preference_Factor2)</f>
        <v>0</v>
      </c>
      <c r="D100" s="14">
        <f t="shared" si="41"/>
        <v>0</v>
      </c>
      <c r="E100" s="14">
        <f t="shared" si="41"/>
        <v>0</v>
      </c>
      <c r="F100" s="14">
        <f t="shared" si="41"/>
        <v>0</v>
      </c>
      <c r="G100" s="14">
        <f t="shared" si="41"/>
        <v>0</v>
      </c>
      <c r="H100" s="14">
        <f t="shared" si="41"/>
        <v>0</v>
      </c>
      <c r="I100" s="14">
        <f>IF(I99=0,0,I99+Preference_Factor2)</f>
        <v>0</v>
      </c>
      <c r="J100" s="14">
        <f>IF(J99=0,0,J99+Preference_Factor2)</f>
        <v>0</v>
      </c>
    </row>
    <row r="101" spans="1:10" ht="14.25">
      <c r="A101" s="6" t="s">
        <v>12</v>
      </c>
      <c r="B101" s="6"/>
      <c r="C101" s="28">
        <f aca="true" t="shared" si="42" ref="C101:J101">RANK(C100,Rater5B,0)+((COUNT(Rater5B)+1-RANK(C100,Rater5B,0)-RANK(C100,Rater5B,1))/2)</f>
        <v>4.5</v>
      </c>
      <c r="D101" s="28">
        <f t="shared" si="42"/>
        <v>4.5</v>
      </c>
      <c r="E101" s="28">
        <f t="shared" si="42"/>
        <v>4.5</v>
      </c>
      <c r="F101" s="28">
        <f t="shared" si="42"/>
        <v>4.5</v>
      </c>
      <c r="G101" s="28">
        <f t="shared" si="42"/>
        <v>4.5</v>
      </c>
      <c r="H101" s="28">
        <f t="shared" si="42"/>
        <v>4.5</v>
      </c>
      <c r="I101" s="28">
        <f t="shared" si="42"/>
        <v>4.5</v>
      </c>
      <c r="J101" s="28">
        <f t="shared" si="42"/>
        <v>4.5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10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</row>
    <row r="107" spans="1:10" ht="14.25">
      <c r="A107" t="s">
        <v>0</v>
      </c>
      <c r="C107" s="14">
        <f aca="true" t="shared" si="43" ref="C107:J107">IF(Rater_1B=TRUE,C81,0)</f>
        <v>2</v>
      </c>
      <c r="D107" s="14">
        <f t="shared" si="43"/>
        <v>3</v>
      </c>
      <c r="E107" s="14">
        <f t="shared" si="43"/>
        <v>6</v>
      </c>
      <c r="F107" s="14">
        <f t="shared" si="43"/>
        <v>6</v>
      </c>
      <c r="G107" s="14">
        <f t="shared" si="43"/>
        <v>6</v>
      </c>
      <c r="H107" s="14">
        <f t="shared" si="43"/>
        <v>1</v>
      </c>
      <c r="I107" s="14">
        <f t="shared" si="43"/>
        <v>6</v>
      </c>
      <c r="J107" s="14">
        <f t="shared" si="43"/>
        <v>6</v>
      </c>
    </row>
    <row r="108" spans="1:10" ht="14.25">
      <c r="A108" t="s">
        <v>2</v>
      </c>
      <c r="C108" s="14">
        <f aca="true" t="shared" si="44" ref="C108:J108">IF(Rater_2B=TRUE,C86,0)</f>
        <v>1.5</v>
      </c>
      <c r="D108" s="14">
        <f t="shared" si="44"/>
        <v>3</v>
      </c>
      <c r="E108" s="14">
        <f t="shared" si="44"/>
        <v>6</v>
      </c>
      <c r="F108" s="14">
        <f t="shared" si="44"/>
        <v>6</v>
      </c>
      <c r="G108" s="14">
        <f t="shared" si="44"/>
        <v>6</v>
      </c>
      <c r="H108" s="14">
        <f t="shared" si="44"/>
        <v>1.5</v>
      </c>
      <c r="I108" s="14">
        <f t="shared" si="44"/>
        <v>6</v>
      </c>
      <c r="J108" s="14">
        <f t="shared" si="44"/>
        <v>6</v>
      </c>
    </row>
    <row r="109" spans="1:10" ht="14.25">
      <c r="A109" t="s">
        <v>5</v>
      </c>
      <c r="C109" s="14">
        <f aca="true" t="shared" si="45" ref="C109:J109">IF(Rater_3B=TRUE,C91,0)</f>
        <v>1</v>
      </c>
      <c r="D109" s="14">
        <f t="shared" si="45"/>
        <v>3</v>
      </c>
      <c r="E109" s="14">
        <f t="shared" si="45"/>
        <v>6</v>
      </c>
      <c r="F109" s="14">
        <f t="shared" si="45"/>
        <v>6</v>
      </c>
      <c r="G109" s="14">
        <f t="shared" si="45"/>
        <v>6</v>
      </c>
      <c r="H109" s="14">
        <f t="shared" si="45"/>
        <v>2</v>
      </c>
      <c r="I109" s="14">
        <f t="shared" si="45"/>
        <v>6</v>
      </c>
      <c r="J109" s="14">
        <f t="shared" si="45"/>
        <v>6</v>
      </c>
    </row>
    <row r="110" spans="1:10" ht="14.25">
      <c r="A110" t="s">
        <v>7</v>
      </c>
      <c r="C110" s="14">
        <f aca="true" t="shared" si="46" ref="C110:J110">IF(Rater_4B=TRUE,C96,0)</f>
        <v>1.5</v>
      </c>
      <c r="D110" s="14">
        <f t="shared" si="46"/>
        <v>3</v>
      </c>
      <c r="E110" s="14">
        <f t="shared" si="46"/>
        <v>6</v>
      </c>
      <c r="F110" s="14">
        <f t="shared" si="46"/>
        <v>6</v>
      </c>
      <c r="G110" s="14">
        <f t="shared" si="46"/>
        <v>6</v>
      </c>
      <c r="H110" s="14">
        <f t="shared" si="46"/>
        <v>1.5</v>
      </c>
      <c r="I110" s="14">
        <f t="shared" si="46"/>
        <v>6</v>
      </c>
      <c r="J110" s="14">
        <f t="shared" si="46"/>
        <v>6</v>
      </c>
    </row>
    <row r="111" spans="1:10" ht="14.25">
      <c r="A111" t="s">
        <v>78</v>
      </c>
      <c r="C111" s="14">
        <f aca="true" t="shared" si="47" ref="C111:J111">IF(Rater_5B=TRUE,C101,0)</f>
        <v>0</v>
      </c>
      <c r="D111" s="14">
        <f t="shared" si="47"/>
        <v>0</v>
      </c>
      <c r="E111" s="14">
        <f t="shared" si="47"/>
        <v>0</v>
      </c>
      <c r="F111" s="14">
        <f t="shared" si="47"/>
        <v>0</v>
      </c>
      <c r="G111" s="14">
        <f t="shared" si="47"/>
        <v>0</v>
      </c>
      <c r="H111" s="14">
        <f t="shared" si="47"/>
        <v>0</v>
      </c>
      <c r="I111" s="14">
        <f t="shared" si="47"/>
        <v>0</v>
      </c>
      <c r="J111" s="14">
        <f t="shared" si="47"/>
        <v>0</v>
      </c>
    </row>
    <row r="112" ht="14.25">
      <c r="E112" s="6"/>
    </row>
    <row r="113" spans="1:10" ht="14.25">
      <c r="A113" s="6"/>
      <c r="B113" s="9" t="s">
        <v>16</v>
      </c>
      <c r="C113" s="29">
        <f>SUM(C107:C111)</f>
        <v>6</v>
      </c>
      <c r="D113" s="29">
        <f aca="true" t="shared" si="48" ref="D113:J113">SUM(D107:D111)</f>
        <v>12</v>
      </c>
      <c r="E113" s="29">
        <f t="shared" si="48"/>
        <v>24</v>
      </c>
      <c r="F113" s="29">
        <f t="shared" si="48"/>
        <v>24</v>
      </c>
      <c r="G113" s="29">
        <f t="shared" si="48"/>
        <v>24</v>
      </c>
      <c r="H113" s="29">
        <f t="shared" si="48"/>
        <v>6</v>
      </c>
      <c r="I113" s="29">
        <f t="shared" si="48"/>
        <v>24</v>
      </c>
      <c r="J113" s="29">
        <f t="shared" si="48"/>
        <v>24</v>
      </c>
    </row>
    <row r="114" spans="3:6" ht="14.25">
      <c r="C114" s="24"/>
      <c r="D114" s="24"/>
      <c r="E114" s="25"/>
      <c r="F114" s="24"/>
    </row>
    <row r="115" spans="1:10" ht="14.25">
      <c r="A115" s="1" t="s">
        <v>31</v>
      </c>
      <c r="B115" s="1"/>
      <c r="C115" s="29">
        <f aca="true" t="shared" si="49" ref="C115:J115">RANK(C113,Interview_rank,1)+((COUNT(Interview_rank)+1-RANK(C113,Interview_rank,0)-RANK(C113,Interview_rank,1))/2)</f>
        <v>1.5</v>
      </c>
      <c r="D115" s="29">
        <f t="shared" si="49"/>
        <v>3</v>
      </c>
      <c r="E115" s="29">
        <f t="shared" si="49"/>
        <v>6</v>
      </c>
      <c r="F115" s="29">
        <f t="shared" si="49"/>
        <v>6</v>
      </c>
      <c r="G115" s="29">
        <f t="shared" si="49"/>
        <v>6</v>
      </c>
      <c r="H115" s="29">
        <f t="shared" si="49"/>
        <v>1.5</v>
      </c>
      <c r="I115" s="29">
        <f t="shared" si="49"/>
        <v>6</v>
      </c>
      <c r="J115" s="29">
        <f t="shared" si="49"/>
        <v>6</v>
      </c>
    </row>
    <row r="116" ht="14.25">
      <c r="E116" s="6"/>
    </row>
    <row r="117" spans="1:10" ht="15" thickBot="1">
      <c r="A117" s="76" t="s">
        <v>34</v>
      </c>
      <c r="B117" s="76"/>
      <c r="C117" s="76"/>
      <c r="D117" s="76"/>
      <c r="E117" s="76"/>
      <c r="F117" s="76"/>
      <c r="G117" s="31"/>
      <c r="H117" s="31"/>
      <c r="I117" s="31"/>
      <c r="J117" s="31"/>
    </row>
    <row r="118" spans="1:10" ht="14.25">
      <c r="A118" s="26" t="s">
        <v>23</v>
      </c>
      <c r="B118" s="26"/>
      <c r="C118" s="27">
        <f>C80+C85+C90+C95+C100</f>
        <v>396</v>
      </c>
      <c r="D118" s="27">
        <f aca="true" t="shared" si="50" ref="D118:J118">D80+D85+D90+D95+D100</f>
        <v>335</v>
      </c>
      <c r="E118" s="27">
        <f t="shared" si="50"/>
        <v>0</v>
      </c>
      <c r="F118" s="27">
        <f t="shared" si="50"/>
        <v>0</v>
      </c>
      <c r="G118" s="27">
        <f t="shared" si="50"/>
        <v>0</v>
      </c>
      <c r="H118" s="27">
        <f t="shared" si="50"/>
        <v>389</v>
      </c>
      <c r="I118" s="27">
        <f t="shared" si="50"/>
        <v>0</v>
      </c>
      <c r="J118" s="27">
        <f t="shared" si="50"/>
        <v>0</v>
      </c>
    </row>
    <row r="119" spans="1:10" ht="14.25">
      <c r="A119" s="26" t="s">
        <v>25</v>
      </c>
      <c r="B119" s="26"/>
      <c r="C119" s="27">
        <f aca="true" t="shared" si="51" ref="C119:J119">RANK(C118,Total_score2,0)</f>
        <v>1</v>
      </c>
      <c r="D119" s="27">
        <f t="shared" si="51"/>
        <v>3</v>
      </c>
      <c r="E119" s="27">
        <f t="shared" si="51"/>
        <v>4</v>
      </c>
      <c r="F119" s="27">
        <f t="shared" si="51"/>
        <v>4</v>
      </c>
      <c r="G119" s="27">
        <f t="shared" si="51"/>
        <v>4</v>
      </c>
      <c r="H119" s="27">
        <f t="shared" si="51"/>
        <v>2</v>
      </c>
      <c r="I119" s="27">
        <f t="shared" si="51"/>
        <v>4</v>
      </c>
      <c r="J119" s="27">
        <f t="shared" si="51"/>
        <v>4</v>
      </c>
    </row>
    <row r="120" spans="1:10" ht="14.25">
      <c r="A120" s="26" t="s">
        <v>24</v>
      </c>
      <c r="B120" s="26"/>
      <c r="C120" s="27">
        <f aca="true" t="shared" si="52" ref="C120:J120">C118/Raters_int</f>
        <v>99</v>
      </c>
      <c r="D120" s="27">
        <f t="shared" si="52"/>
        <v>83.75</v>
      </c>
      <c r="E120" s="27">
        <f t="shared" si="52"/>
        <v>0</v>
      </c>
      <c r="F120" s="27">
        <f t="shared" si="52"/>
        <v>0</v>
      </c>
      <c r="G120" s="27">
        <f t="shared" si="52"/>
        <v>0</v>
      </c>
      <c r="H120" s="27">
        <f t="shared" si="52"/>
        <v>97.25</v>
      </c>
      <c r="I120" s="27">
        <f t="shared" si="52"/>
        <v>0</v>
      </c>
      <c r="J120" s="27">
        <f t="shared" si="52"/>
        <v>0</v>
      </c>
    </row>
    <row r="121" spans="1:10" ht="14.25">
      <c r="A121" s="26" t="s">
        <v>26</v>
      </c>
      <c r="B121" s="26"/>
      <c r="C121" s="27">
        <f aca="true" t="shared" si="53" ref="C121:J121">RANK(C120,AVG_Score2,0)</f>
        <v>1</v>
      </c>
      <c r="D121" s="27">
        <f t="shared" si="53"/>
        <v>3</v>
      </c>
      <c r="E121" s="27">
        <f t="shared" si="53"/>
        <v>4</v>
      </c>
      <c r="F121" s="27">
        <f t="shared" si="53"/>
        <v>4</v>
      </c>
      <c r="G121" s="27">
        <f t="shared" si="53"/>
        <v>4</v>
      </c>
      <c r="H121" s="27">
        <f t="shared" si="53"/>
        <v>2</v>
      </c>
      <c r="I121" s="27">
        <f t="shared" si="53"/>
        <v>4</v>
      </c>
      <c r="J121" s="27">
        <f t="shared" si="53"/>
        <v>4</v>
      </c>
    </row>
    <row r="123" spans="1:10" ht="15" thickBot="1">
      <c r="A123" s="76" t="s">
        <v>35</v>
      </c>
      <c r="B123" s="76"/>
      <c r="C123" s="76"/>
      <c r="D123" s="76"/>
      <c r="E123" s="76"/>
      <c r="F123" s="76"/>
      <c r="G123" s="31"/>
      <c r="H123" s="31"/>
      <c r="I123" s="31"/>
      <c r="J123" s="31"/>
    </row>
    <row r="124" spans="1:10" ht="14.25">
      <c r="A124" s="26" t="s">
        <v>23</v>
      </c>
      <c r="B124" s="26"/>
      <c r="C124" s="27">
        <f aca="true" t="shared" si="54" ref="C124:J124">C70+C118</f>
        <v>594</v>
      </c>
      <c r="D124" s="27">
        <f t="shared" si="54"/>
        <v>535</v>
      </c>
      <c r="E124" s="27">
        <f t="shared" si="54"/>
        <v>192</v>
      </c>
      <c r="F124" s="27">
        <f t="shared" si="54"/>
        <v>195</v>
      </c>
      <c r="G124" s="27">
        <f t="shared" si="54"/>
        <v>186</v>
      </c>
      <c r="H124" s="27">
        <f t="shared" si="54"/>
        <v>604</v>
      </c>
      <c r="I124" s="27">
        <f t="shared" si="54"/>
        <v>192</v>
      </c>
      <c r="J124" s="27">
        <f t="shared" si="54"/>
        <v>200</v>
      </c>
    </row>
    <row r="125" spans="1:10" s="56" customFormat="1" ht="14.25">
      <c r="A125" s="26" t="s">
        <v>25</v>
      </c>
      <c r="B125" s="26"/>
      <c r="C125" s="27">
        <f aca="true" t="shared" si="55" ref="C125:J125">RANK(C124,Total_score3,0)</f>
        <v>2</v>
      </c>
      <c r="D125" s="27">
        <f t="shared" si="55"/>
        <v>3</v>
      </c>
      <c r="E125" s="27">
        <f t="shared" si="55"/>
        <v>6</v>
      </c>
      <c r="F125" s="27">
        <f t="shared" si="55"/>
        <v>5</v>
      </c>
      <c r="G125" s="27">
        <f t="shared" si="55"/>
        <v>8</v>
      </c>
      <c r="H125" s="27">
        <f t="shared" si="55"/>
        <v>1</v>
      </c>
      <c r="I125" s="27">
        <f t="shared" si="55"/>
        <v>6</v>
      </c>
      <c r="J125" s="27">
        <f t="shared" si="55"/>
        <v>4</v>
      </c>
    </row>
    <row r="126" spans="1:10" s="56" customFormat="1" ht="14.25">
      <c r="A126" s="26" t="s">
        <v>24</v>
      </c>
      <c r="B126" s="26"/>
      <c r="C126" s="27">
        <f aca="true" t="shared" si="56" ref="C126:J126">C124/((Raters+Raters_int)/2)</f>
        <v>148.5</v>
      </c>
      <c r="D126" s="27">
        <f t="shared" si="56"/>
        <v>133.75</v>
      </c>
      <c r="E126" s="27">
        <f t="shared" si="56"/>
        <v>48</v>
      </c>
      <c r="F126" s="27">
        <f t="shared" si="56"/>
        <v>48.75</v>
      </c>
      <c r="G126" s="27">
        <f t="shared" si="56"/>
        <v>46.5</v>
      </c>
      <c r="H126" s="27">
        <f t="shared" si="56"/>
        <v>151</v>
      </c>
      <c r="I126" s="27">
        <f t="shared" si="56"/>
        <v>48</v>
      </c>
      <c r="J126" s="27">
        <f t="shared" si="56"/>
        <v>50</v>
      </c>
    </row>
    <row r="127" spans="1:10" ht="14.25">
      <c r="A127" s="26" t="s">
        <v>26</v>
      </c>
      <c r="B127" s="26"/>
      <c r="C127" s="27">
        <f aca="true" t="shared" si="57" ref="C127:J127">RANK(C126,AVG_Score3,0)</f>
        <v>2</v>
      </c>
      <c r="D127" s="27">
        <f t="shared" si="57"/>
        <v>3</v>
      </c>
      <c r="E127" s="27">
        <f t="shared" si="57"/>
        <v>6</v>
      </c>
      <c r="F127" s="27">
        <f t="shared" si="57"/>
        <v>5</v>
      </c>
      <c r="G127" s="27">
        <f t="shared" si="57"/>
        <v>8</v>
      </c>
      <c r="H127" s="27">
        <f t="shared" si="57"/>
        <v>1</v>
      </c>
      <c r="I127" s="27">
        <f t="shared" si="57"/>
        <v>6</v>
      </c>
      <c r="J127" s="27">
        <f t="shared" si="57"/>
        <v>4</v>
      </c>
    </row>
    <row r="130" spans="1:7" ht="14.25">
      <c r="A130" s="75" t="s">
        <v>33</v>
      </c>
      <c r="B130" s="75"/>
      <c r="C130" s="75"/>
      <c r="D130" s="75"/>
      <c r="E130" s="75"/>
      <c r="F130" s="75"/>
      <c r="G130" s="75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21" t="str">
        <f>IF(C67=TRUE,C6,"N/A")</f>
        <v>Firm A</v>
      </c>
      <c r="D132" s="21" t="str">
        <f aca="true" t="shared" si="58" ref="D132:J132">IF(D67=TRUE,D6,"N/A")</f>
        <v>Firm B</v>
      </c>
      <c r="E132" s="21" t="str">
        <f t="shared" si="58"/>
        <v>N/A</v>
      </c>
      <c r="F132" s="21" t="str">
        <f t="shared" si="58"/>
        <v>N/A</v>
      </c>
      <c r="G132" s="21" t="str">
        <f t="shared" si="58"/>
        <v>N/A</v>
      </c>
      <c r="H132" s="21" t="str">
        <f t="shared" si="58"/>
        <v>Firm F</v>
      </c>
      <c r="I132" s="21" t="str">
        <f t="shared" si="58"/>
        <v>N/A</v>
      </c>
      <c r="J132" s="21" t="str">
        <f t="shared" si="5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10" ht="14.25">
      <c r="A134" s="6" t="s">
        <v>15</v>
      </c>
      <c r="B134" s="6"/>
      <c r="C134" s="17">
        <f aca="true" t="shared" si="59" ref="C134:I134">C20+C80</f>
        <v>140</v>
      </c>
      <c r="D134" s="17">
        <f t="shared" si="59"/>
        <v>127</v>
      </c>
      <c r="E134" s="17">
        <f t="shared" si="59"/>
        <v>49</v>
      </c>
      <c r="F134" s="17">
        <f t="shared" si="59"/>
        <v>48</v>
      </c>
      <c r="G134" s="17">
        <f t="shared" si="59"/>
        <v>45</v>
      </c>
      <c r="H134" s="17">
        <f t="shared" si="59"/>
        <v>147</v>
      </c>
      <c r="I134" s="17">
        <f t="shared" si="59"/>
        <v>40</v>
      </c>
      <c r="J134" s="17">
        <f>J20+J80</f>
        <v>42</v>
      </c>
    </row>
    <row r="135" spans="1:10" ht="14.25">
      <c r="A135" s="6" t="s">
        <v>12</v>
      </c>
      <c r="B135" s="6"/>
      <c r="C135" s="28">
        <f aca="true" t="shared" si="60" ref="C135:J135">RANK(C134,Final_Score,0)+((COUNT(Final_Score)+1-RANK(C134,Final_Score,0)-RANK(C134,Final_Score,1))/2)</f>
        <v>2</v>
      </c>
      <c r="D135" s="28">
        <f t="shared" si="60"/>
        <v>3</v>
      </c>
      <c r="E135" s="28">
        <f t="shared" si="60"/>
        <v>4</v>
      </c>
      <c r="F135" s="28">
        <f t="shared" si="60"/>
        <v>5</v>
      </c>
      <c r="G135" s="28">
        <f t="shared" si="60"/>
        <v>6</v>
      </c>
      <c r="H135" s="28">
        <f t="shared" si="60"/>
        <v>1</v>
      </c>
      <c r="I135" s="28">
        <f t="shared" si="60"/>
        <v>8</v>
      </c>
      <c r="J135" s="28">
        <f t="shared" si="60"/>
        <v>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10" ht="14.25">
      <c r="A138" s="6" t="s">
        <v>15</v>
      </c>
      <c r="B138" s="6"/>
      <c r="C138" s="17">
        <f aca="true" t="shared" si="61" ref="C138:I138">C27+C85</f>
        <v>140</v>
      </c>
      <c r="D138" s="17">
        <f t="shared" si="61"/>
        <v>126</v>
      </c>
      <c r="E138" s="17">
        <f t="shared" si="61"/>
        <v>43</v>
      </c>
      <c r="F138" s="17">
        <f t="shared" si="61"/>
        <v>45</v>
      </c>
      <c r="G138" s="17">
        <f t="shared" si="61"/>
        <v>43</v>
      </c>
      <c r="H138" s="17">
        <f t="shared" si="61"/>
        <v>150</v>
      </c>
      <c r="I138" s="17">
        <f t="shared" si="61"/>
        <v>51</v>
      </c>
      <c r="J138" s="17">
        <f>J27+J85</f>
        <v>53</v>
      </c>
    </row>
    <row r="139" spans="1:10" ht="14.25">
      <c r="A139" s="6" t="s">
        <v>12</v>
      </c>
      <c r="B139" s="6"/>
      <c r="C139" s="28">
        <f aca="true" t="shared" si="62" ref="C139:J139">RANK(C138,Final_Score2,0)+((COUNT(Final_Score2)+1-RANK(C138,Final_Score2,0)-RANK(C138,Final_Score2,1))/2)</f>
        <v>2</v>
      </c>
      <c r="D139" s="28">
        <f t="shared" si="62"/>
        <v>3</v>
      </c>
      <c r="E139" s="28">
        <f t="shared" si="62"/>
        <v>7.5</v>
      </c>
      <c r="F139" s="28">
        <f t="shared" si="62"/>
        <v>6</v>
      </c>
      <c r="G139" s="28">
        <f t="shared" si="62"/>
        <v>7.5</v>
      </c>
      <c r="H139" s="28">
        <f t="shared" si="62"/>
        <v>1</v>
      </c>
      <c r="I139" s="28">
        <f t="shared" si="62"/>
        <v>5</v>
      </c>
      <c r="J139" s="28">
        <f t="shared" si="62"/>
        <v>4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10" ht="14.25">
      <c r="A142" s="6" t="s">
        <v>15</v>
      </c>
      <c r="B142" s="6"/>
      <c r="C142" s="17">
        <f aca="true" t="shared" si="63" ref="C142:I142">C34+C90</f>
        <v>158</v>
      </c>
      <c r="D142" s="17">
        <f t="shared" si="63"/>
        <v>135</v>
      </c>
      <c r="E142" s="17">
        <f t="shared" si="63"/>
        <v>51</v>
      </c>
      <c r="F142" s="17">
        <f t="shared" si="63"/>
        <v>52</v>
      </c>
      <c r="G142" s="17">
        <f t="shared" si="63"/>
        <v>51</v>
      </c>
      <c r="H142" s="17">
        <f t="shared" si="63"/>
        <v>150</v>
      </c>
      <c r="I142" s="17">
        <f t="shared" si="63"/>
        <v>51</v>
      </c>
      <c r="J142" s="17">
        <f>J34+J90</f>
        <v>53</v>
      </c>
    </row>
    <row r="143" spans="1:10" ht="14.25">
      <c r="A143" s="6" t="s">
        <v>12</v>
      </c>
      <c r="B143" s="6"/>
      <c r="C143" s="28">
        <f aca="true" t="shared" si="64" ref="C143:J143">RANK(C142,Final_Score3,0)+((COUNT(Final_Score3)+1-RANK(C142,Final_Score3,0)-RANK(C142,Final_Score3,1))/2)</f>
        <v>1</v>
      </c>
      <c r="D143" s="28">
        <f t="shared" si="64"/>
        <v>3</v>
      </c>
      <c r="E143" s="28">
        <f t="shared" si="64"/>
        <v>7</v>
      </c>
      <c r="F143" s="28">
        <f t="shared" si="64"/>
        <v>5</v>
      </c>
      <c r="G143" s="28">
        <f t="shared" si="64"/>
        <v>7</v>
      </c>
      <c r="H143" s="28">
        <f t="shared" si="64"/>
        <v>2</v>
      </c>
      <c r="I143" s="28">
        <f t="shared" si="64"/>
        <v>7</v>
      </c>
      <c r="J143" s="28">
        <f t="shared" si="64"/>
        <v>4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10" ht="14.25">
      <c r="A146" s="6" t="s">
        <v>15</v>
      </c>
      <c r="B146" s="6"/>
      <c r="C146" s="17">
        <f aca="true" t="shared" si="65" ref="C146:I146">C41+C95</f>
        <v>156</v>
      </c>
      <c r="D146" s="17">
        <f t="shared" si="65"/>
        <v>147</v>
      </c>
      <c r="E146" s="17">
        <f t="shared" si="65"/>
        <v>49</v>
      </c>
      <c r="F146" s="17">
        <f t="shared" si="65"/>
        <v>50</v>
      </c>
      <c r="G146" s="17">
        <f t="shared" si="65"/>
        <v>47</v>
      </c>
      <c r="H146" s="17">
        <f t="shared" si="65"/>
        <v>157</v>
      </c>
      <c r="I146" s="17">
        <f t="shared" si="65"/>
        <v>50</v>
      </c>
      <c r="J146" s="17">
        <f>J41+J95</f>
        <v>52</v>
      </c>
    </row>
    <row r="147" spans="1:10" ht="14.25">
      <c r="A147" s="6" t="s">
        <v>12</v>
      </c>
      <c r="B147" s="6"/>
      <c r="C147" s="28">
        <f aca="true" t="shared" si="66" ref="C147:J147">RANK(C146,Final_Score4,0)+((COUNT(Final_Score4)+1-RANK(C146,Final_Score4,0)-RANK(C146,Final_Score4,1))/2)</f>
        <v>2</v>
      </c>
      <c r="D147" s="28">
        <f t="shared" si="66"/>
        <v>3</v>
      </c>
      <c r="E147" s="28">
        <f t="shared" si="66"/>
        <v>7</v>
      </c>
      <c r="F147" s="28">
        <f t="shared" si="66"/>
        <v>5.5</v>
      </c>
      <c r="G147" s="28">
        <f t="shared" si="66"/>
        <v>8</v>
      </c>
      <c r="H147" s="28">
        <f t="shared" si="66"/>
        <v>1</v>
      </c>
      <c r="I147" s="28">
        <f t="shared" si="66"/>
        <v>5.5</v>
      </c>
      <c r="J147" s="28">
        <f t="shared" si="66"/>
        <v>4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10" ht="14.25">
      <c r="A150" s="6" t="s">
        <v>15</v>
      </c>
      <c r="B150" s="6"/>
      <c r="C150" s="17">
        <f aca="true" t="shared" si="67" ref="C150:J150">C48+C100</f>
        <v>0</v>
      </c>
      <c r="D150" s="17">
        <f t="shared" si="67"/>
        <v>0</v>
      </c>
      <c r="E150" s="17">
        <f t="shared" si="67"/>
        <v>0</v>
      </c>
      <c r="F150" s="17">
        <f t="shared" si="67"/>
        <v>0</v>
      </c>
      <c r="G150" s="17">
        <f t="shared" si="67"/>
        <v>0</v>
      </c>
      <c r="H150" s="17">
        <f t="shared" si="67"/>
        <v>0</v>
      </c>
      <c r="I150" s="17">
        <f t="shared" si="67"/>
        <v>0</v>
      </c>
      <c r="J150" s="17">
        <f t="shared" si="67"/>
        <v>0</v>
      </c>
    </row>
    <row r="151" spans="1:10" ht="14.25">
      <c r="A151" s="6" t="s">
        <v>12</v>
      </c>
      <c r="B151" s="6"/>
      <c r="C151" s="28">
        <f aca="true" t="shared" si="68" ref="C151:J151">RANK(C150,Final_Score5,0)+((COUNT(Final_Score5)+1-RANK(C150,Final_Score5,0)-RANK(C150,Final_Score5,1))/2)</f>
        <v>4.5</v>
      </c>
      <c r="D151" s="28">
        <f t="shared" si="68"/>
        <v>4.5</v>
      </c>
      <c r="E151" s="28">
        <f t="shared" si="68"/>
        <v>4.5</v>
      </c>
      <c r="F151" s="28">
        <f t="shared" si="68"/>
        <v>4.5</v>
      </c>
      <c r="G151" s="28">
        <f t="shared" si="68"/>
        <v>4.5</v>
      </c>
      <c r="H151" s="28">
        <f t="shared" si="68"/>
        <v>4.5</v>
      </c>
      <c r="I151" s="28">
        <f t="shared" si="68"/>
        <v>4.5</v>
      </c>
      <c r="J151" s="28">
        <f t="shared" si="68"/>
        <v>4.5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10" ht="14.25">
      <c r="A154" t="s">
        <v>0</v>
      </c>
      <c r="C154" s="14">
        <f aca="true" t="shared" si="69" ref="C154:I154">C135</f>
        <v>2</v>
      </c>
      <c r="D154" s="14">
        <f t="shared" si="69"/>
        <v>3</v>
      </c>
      <c r="E154" s="14">
        <f t="shared" si="69"/>
        <v>4</v>
      </c>
      <c r="F154" s="14">
        <f t="shared" si="69"/>
        <v>5</v>
      </c>
      <c r="G154" s="14">
        <f t="shared" si="69"/>
        <v>6</v>
      </c>
      <c r="H154" s="14">
        <f t="shared" si="69"/>
        <v>1</v>
      </c>
      <c r="I154" s="14">
        <f t="shared" si="69"/>
        <v>8</v>
      </c>
      <c r="J154" s="14">
        <f>J135</f>
        <v>7</v>
      </c>
    </row>
    <row r="155" spans="1:10" ht="14.25">
      <c r="A155" t="s">
        <v>2</v>
      </c>
      <c r="C155" s="14">
        <f aca="true" t="shared" si="70" ref="C155:I155">C139</f>
        <v>2</v>
      </c>
      <c r="D155" s="14">
        <f t="shared" si="70"/>
        <v>3</v>
      </c>
      <c r="E155" s="14">
        <f t="shared" si="70"/>
        <v>7.5</v>
      </c>
      <c r="F155" s="14">
        <f t="shared" si="70"/>
        <v>6</v>
      </c>
      <c r="G155" s="14">
        <f t="shared" si="70"/>
        <v>7.5</v>
      </c>
      <c r="H155" s="14">
        <f t="shared" si="70"/>
        <v>1</v>
      </c>
      <c r="I155" s="14">
        <f t="shared" si="70"/>
        <v>5</v>
      </c>
      <c r="J155" s="14">
        <f>J139</f>
        <v>4</v>
      </c>
    </row>
    <row r="156" spans="1:10" ht="14.25">
      <c r="A156" t="s">
        <v>5</v>
      </c>
      <c r="C156" s="14">
        <f aca="true" t="shared" si="71" ref="C156:I156">C143</f>
        <v>1</v>
      </c>
      <c r="D156" s="14">
        <f t="shared" si="71"/>
        <v>3</v>
      </c>
      <c r="E156" s="14">
        <f t="shared" si="71"/>
        <v>7</v>
      </c>
      <c r="F156" s="14">
        <f t="shared" si="71"/>
        <v>5</v>
      </c>
      <c r="G156" s="14">
        <f t="shared" si="71"/>
        <v>7</v>
      </c>
      <c r="H156" s="14">
        <f t="shared" si="71"/>
        <v>2</v>
      </c>
      <c r="I156" s="14">
        <f t="shared" si="71"/>
        <v>7</v>
      </c>
      <c r="J156" s="14">
        <f>J143</f>
        <v>4</v>
      </c>
    </row>
    <row r="157" spans="1:10" ht="14.25">
      <c r="A157" t="s">
        <v>7</v>
      </c>
      <c r="C157" s="14">
        <f aca="true" t="shared" si="72" ref="C157:I157">C147</f>
        <v>2</v>
      </c>
      <c r="D157" s="14">
        <f t="shared" si="72"/>
        <v>3</v>
      </c>
      <c r="E157" s="14">
        <f t="shared" si="72"/>
        <v>7</v>
      </c>
      <c r="F157" s="14">
        <f t="shared" si="72"/>
        <v>5.5</v>
      </c>
      <c r="G157" s="14">
        <f t="shared" si="72"/>
        <v>8</v>
      </c>
      <c r="H157" s="14">
        <f t="shared" si="72"/>
        <v>1</v>
      </c>
      <c r="I157" s="14">
        <f t="shared" si="72"/>
        <v>5.5</v>
      </c>
      <c r="J157" s="14">
        <f>J147</f>
        <v>4</v>
      </c>
    </row>
    <row r="158" spans="1:10" ht="14.25">
      <c r="A158" t="s">
        <v>78</v>
      </c>
      <c r="C158" s="14">
        <f>C151</f>
        <v>4.5</v>
      </c>
      <c r="D158" s="14">
        <f aca="true" t="shared" si="73" ref="D158:J158">D151</f>
        <v>4.5</v>
      </c>
      <c r="E158" s="14">
        <f t="shared" si="73"/>
        <v>4.5</v>
      </c>
      <c r="F158" s="14">
        <f t="shared" si="73"/>
        <v>4.5</v>
      </c>
      <c r="G158" s="14">
        <f t="shared" si="73"/>
        <v>4.5</v>
      </c>
      <c r="H158" s="14">
        <f t="shared" si="73"/>
        <v>4.5</v>
      </c>
      <c r="I158" s="14">
        <f t="shared" si="73"/>
        <v>4.5</v>
      </c>
      <c r="J158" s="14">
        <f t="shared" si="73"/>
        <v>4.5</v>
      </c>
    </row>
    <row r="159" ht="14.25">
      <c r="E159" s="6"/>
    </row>
    <row r="160" spans="1:10" ht="14.25">
      <c r="A160" s="6"/>
      <c r="B160" s="9" t="s">
        <v>16</v>
      </c>
      <c r="C160" s="29">
        <f aca="true" t="shared" si="74" ref="C160:I160">SUM(C154:C157)</f>
        <v>7</v>
      </c>
      <c r="D160" s="29">
        <f t="shared" si="74"/>
        <v>12</v>
      </c>
      <c r="E160" s="29">
        <f t="shared" si="74"/>
        <v>25.5</v>
      </c>
      <c r="F160" s="29">
        <f t="shared" si="74"/>
        <v>21.5</v>
      </c>
      <c r="G160" s="29">
        <f t="shared" si="74"/>
        <v>28.5</v>
      </c>
      <c r="H160" s="29">
        <f t="shared" si="74"/>
        <v>5</v>
      </c>
      <c r="I160" s="29">
        <f t="shared" si="74"/>
        <v>25.5</v>
      </c>
      <c r="J160" s="29">
        <f>SUM(J154:J157)</f>
        <v>19</v>
      </c>
    </row>
    <row r="161" spans="3:6" ht="14.25">
      <c r="C161" s="24"/>
      <c r="D161" s="24"/>
      <c r="E161" s="25"/>
      <c r="F161" s="24"/>
    </row>
    <row r="162" spans="1:10" ht="14.25">
      <c r="A162" s="1" t="s">
        <v>36</v>
      </c>
      <c r="B162" s="1"/>
      <c r="C162" s="29">
        <f aca="true" t="shared" si="75" ref="C162:J162">RANK(C160,Overall_Rank,1)+((COUNT(Overall_Rank)+1-RANK(C160,Overall_Rank,0)-RANK(C160,Overall_Rank,1))/2)</f>
        <v>2</v>
      </c>
      <c r="D162" s="29">
        <f t="shared" si="75"/>
        <v>3</v>
      </c>
      <c r="E162" s="29">
        <f t="shared" si="75"/>
        <v>6.5</v>
      </c>
      <c r="F162" s="29">
        <f t="shared" si="75"/>
        <v>5</v>
      </c>
      <c r="G162" s="29">
        <f t="shared" si="75"/>
        <v>8</v>
      </c>
      <c r="H162" s="29">
        <f t="shared" si="75"/>
        <v>1</v>
      </c>
      <c r="I162" s="29">
        <f t="shared" si="75"/>
        <v>6.5</v>
      </c>
      <c r="J162" s="29">
        <f t="shared" si="75"/>
        <v>4</v>
      </c>
    </row>
  </sheetData>
  <sheetProtection/>
  <mergeCells count="15">
    <mergeCell ref="A117:F117"/>
    <mergeCell ref="A123:F123"/>
    <mergeCell ref="A130:G130"/>
    <mergeCell ref="A11:B11"/>
    <mergeCell ref="A12:B12"/>
    <mergeCell ref="A13:B13"/>
    <mergeCell ref="A14:B14"/>
    <mergeCell ref="A69:F69"/>
    <mergeCell ref="A75:F75"/>
    <mergeCell ref="B1:C1"/>
    <mergeCell ref="L6:M6"/>
    <mergeCell ref="A7:B7"/>
    <mergeCell ref="A8:B8"/>
    <mergeCell ref="A9:B9"/>
    <mergeCell ref="A10:B10"/>
  </mergeCells>
  <printOptions/>
  <pageMargins left="0.7" right="0.7" top="0.75" bottom="0.75" header="0.3" footer="0.3"/>
  <pageSetup fitToHeight="4" fitToWidth="1" horizontalDpi="600" verticalDpi="600" orientation="portrait" scale="6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9" width="14.421875" style="0" customWidth="1"/>
  </cols>
  <sheetData>
    <row r="1" spans="2:9" ht="14.25">
      <c r="B1" s="21" t="str">
        <f>'RFP Score Sheet'!E6</f>
        <v>Dekker/Perich/Sabatini</v>
      </c>
      <c r="C1" s="21" t="str">
        <f>'RFP Score Sheet'!D6</f>
        <v>ASA Architects</v>
      </c>
      <c r="D1" s="21" t="e">
        <f>'RFP Score Sheet'!#REF!</f>
        <v>#REF!</v>
      </c>
      <c r="E1" s="21" t="str">
        <f>'RFP Score Sheet'!F6</f>
        <v>Hartman Design Group</v>
      </c>
      <c r="F1" s="21" t="str">
        <f>'RFP Score Sheet'!G6</f>
        <v>Williams Design Group</v>
      </c>
      <c r="G1" s="21" t="str">
        <f>'RFP Score Sheet'!C6</f>
        <v>AKS Architects</v>
      </c>
      <c r="H1" s="21">
        <f>'RFP Score Sheet'!I6</f>
        <v>0</v>
      </c>
      <c r="I1" s="21">
        <f>'RFP Score Sheet'!J6</f>
        <v>0</v>
      </c>
    </row>
    <row r="2" spans="1:9" ht="14.25">
      <c r="A2" t="s">
        <v>73</v>
      </c>
      <c r="B2" s="19">
        <v>8588000</v>
      </c>
      <c r="C2" s="19">
        <v>8960000</v>
      </c>
      <c r="D2" s="19">
        <v>9250000</v>
      </c>
      <c r="E2" s="19">
        <v>8960000</v>
      </c>
      <c r="F2" s="19">
        <v>9800000</v>
      </c>
      <c r="G2" s="19">
        <v>8710000</v>
      </c>
      <c r="H2" s="19">
        <v>9764960</v>
      </c>
      <c r="I2" s="19">
        <v>9478038</v>
      </c>
    </row>
    <row r="3" spans="1:9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</row>
    <row r="5" spans="1:9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ht="14.25">
      <c r="A7" t="s">
        <v>74</v>
      </c>
      <c r="B7" s="19">
        <f>IF(SUM(B2:B6)&gt;0,SUM(B2:B6),"N/A")</f>
        <v>8588000</v>
      </c>
      <c r="C7" s="19">
        <f aca="true" t="shared" si="0" ref="C7:I7">IF(SUM(C2:C6)&gt;0,SUM(C2:C6),"N/A")</f>
        <v>8960000</v>
      </c>
      <c r="D7" s="19">
        <f t="shared" si="0"/>
        <v>9250000</v>
      </c>
      <c r="E7" s="19">
        <f t="shared" si="0"/>
        <v>8960000</v>
      </c>
      <c r="F7" s="19">
        <f t="shared" si="0"/>
        <v>9800000</v>
      </c>
      <c r="G7" s="19">
        <f t="shared" si="0"/>
        <v>8710000</v>
      </c>
      <c r="H7" s="19">
        <f t="shared" si="0"/>
        <v>9764960</v>
      </c>
      <c r="I7" s="19">
        <f t="shared" si="0"/>
        <v>9478038</v>
      </c>
    </row>
    <row r="8" spans="2:6" ht="14.25">
      <c r="B8" s="19"/>
      <c r="C8" s="19"/>
      <c r="D8" s="19"/>
      <c r="E8" s="19"/>
      <c r="F8" s="19"/>
    </row>
    <row r="9" spans="1:9" ht="14.25">
      <c r="A9" t="s">
        <v>29</v>
      </c>
      <c r="B9" s="19">
        <f aca="true" t="shared" si="1" ref="B9:I9">MIN(Total_Price)</f>
        <v>8588000</v>
      </c>
      <c r="C9" s="19">
        <f t="shared" si="1"/>
        <v>8588000</v>
      </c>
      <c r="D9" s="19">
        <f t="shared" si="1"/>
        <v>8588000</v>
      </c>
      <c r="E9" s="19">
        <f t="shared" si="1"/>
        <v>8588000</v>
      </c>
      <c r="F9" s="19">
        <f t="shared" si="1"/>
        <v>8588000</v>
      </c>
      <c r="G9" s="19">
        <f t="shared" si="1"/>
        <v>8588000</v>
      </c>
      <c r="H9" s="19">
        <f t="shared" si="1"/>
        <v>8588000</v>
      </c>
      <c r="I9" s="19">
        <f t="shared" si="1"/>
        <v>8588000</v>
      </c>
    </row>
    <row r="10" spans="1:9" ht="14.25">
      <c r="A10" t="s">
        <v>76</v>
      </c>
      <c r="B10" s="14">
        <f aca="true" t="shared" si="2" ref="B10:I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9" ht="14.25">
      <c r="B16" s="14"/>
      <c r="C16" s="14"/>
      <c r="D16" s="14"/>
      <c r="E16" s="14"/>
      <c r="F16" s="14"/>
      <c r="G16" s="14"/>
      <c r="H16" s="14"/>
      <c r="I16" s="14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8" width="13.421875" style="0" customWidth="1"/>
    <col min="10" max="10" width="5.140625" style="0" customWidth="1"/>
    <col min="11" max="11" width="29.140625" style="0" customWidth="1"/>
    <col min="14" max="14" width="29.57421875" style="0" customWidth="1"/>
  </cols>
  <sheetData>
    <row r="1" spans="1:8" ht="15">
      <c r="A1" s="5" t="s">
        <v>70</v>
      </c>
      <c r="B1" s="74"/>
      <c r="C1" s="74"/>
      <c r="D1" s="33"/>
      <c r="E1" s="66"/>
      <c r="F1" s="66"/>
      <c r="G1" s="66"/>
      <c r="H1" s="66"/>
    </row>
    <row r="2" spans="1:8" ht="15">
      <c r="A2" s="5" t="s">
        <v>69</v>
      </c>
      <c r="B2" s="52"/>
      <c r="C2" s="52"/>
      <c r="D2" s="53"/>
      <c r="E2" s="51" t="s">
        <v>68</v>
      </c>
      <c r="F2" s="66"/>
      <c r="G2" s="46" t="s">
        <v>108</v>
      </c>
      <c r="H2" s="65"/>
    </row>
    <row r="3" spans="1:8" ht="15">
      <c r="A3" s="66"/>
      <c r="B3" s="47"/>
      <c r="C3" s="48"/>
      <c r="D3" s="35"/>
      <c r="E3" s="50"/>
      <c r="F3" s="47"/>
      <c r="G3" s="36"/>
      <c r="H3" s="49"/>
    </row>
    <row r="4" spans="1:8" ht="15">
      <c r="A4" s="66"/>
      <c r="B4" s="34"/>
      <c r="C4" s="45"/>
      <c r="D4" s="35"/>
      <c r="E4" s="45"/>
      <c r="F4" s="34"/>
      <c r="G4" s="45"/>
      <c r="H4" s="66"/>
    </row>
    <row r="6" spans="1:11" ht="15.75" thickBot="1">
      <c r="A6" t="s">
        <v>106</v>
      </c>
      <c r="B6" s="61">
        <f>COUNTA(C6:H6)</f>
        <v>6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J6" s="77" t="s">
        <v>64</v>
      </c>
      <c r="K6" s="77"/>
    </row>
    <row r="7" spans="1:11" ht="32.25" customHeight="1">
      <c r="A7" s="73" t="s">
        <v>80</v>
      </c>
      <c r="B7" s="73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J7" s="43" t="s">
        <v>47</v>
      </c>
      <c r="K7" s="44" t="s">
        <v>48</v>
      </c>
    </row>
    <row r="8" spans="1:11" ht="34.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J8" s="43" t="s">
        <v>53</v>
      </c>
      <c r="K8" s="44" t="s">
        <v>49</v>
      </c>
    </row>
    <row r="9" spans="1:11" ht="34.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J9" s="43" t="s">
        <v>54</v>
      </c>
      <c r="K9" s="44" t="s">
        <v>52</v>
      </c>
    </row>
    <row r="10" spans="1:11" ht="34.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J10" s="43" t="s">
        <v>55</v>
      </c>
      <c r="K10" s="44" t="s">
        <v>51</v>
      </c>
    </row>
    <row r="11" spans="1:11" ht="34.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J11" s="43" t="s">
        <v>56</v>
      </c>
      <c r="K11" s="44" t="s">
        <v>50</v>
      </c>
    </row>
    <row r="12" spans="1:11" ht="34.5" customHeight="1" thickBot="1">
      <c r="A12" s="73" t="s">
        <v>46</v>
      </c>
      <c r="B12" s="73"/>
      <c r="C12" s="40">
        <f aca="true" t="shared" si="0" ref="C12:H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J12" s="43" t="s">
        <v>63</v>
      </c>
      <c r="K12" s="44" t="s">
        <v>65</v>
      </c>
    </row>
    <row r="13" spans="1:8" ht="21" customHeight="1" thickTop="1">
      <c r="A13" s="73" t="s">
        <v>107</v>
      </c>
      <c r="B13" s="73"/>
      <c r="C13" s="67">
        <f aca="true" t="shared" si="1" ref="C13:H13">IF(Preference=1,C15*0.05,IF(Preference=2,C15*0.1,IF(Preference=3,C15*0.08,IF(Preference=4,C15*0.07,IF(Preference=5,C15*(0.05*Joint_percent_res)+(0.1*Joint_percent_vet1)+(0.08*Joint_percent_vet2)+(0.07*Joint_percent_vet3),0)))))</f>
        <v>5000</v>
      </c>
      <c r="D13" s="67">
        <f t="shared" si="1"/>
        <v>10000</v>
      </c>
      <c r="E13" s="67">
        <f t="shared" si="1"/>
        <v>8000</v>
      </c>
      <c r="F13" s="67">
        <f t="shared" si="1"/>
        <v>7000.000000000001</v>
      </c>
      <c r="G13" s="67">
        <f t="shared" si="1"/>
        <v>2500</v>
      </c>
      <c r="H13" s="67">
        <f t="shared" si="1"/>
        <v>0</v>
      </c>
    </row>
    <row r="14" spans="1:8" ht="18.75" customHeight="1">
      <c r="A14" s="39"/>
      <c r="B14" s="39"/>
      <c r="C14" s="42"/>
      <c r="D14" s="42"/>
      <c r="E14" s="42"/>
      <c r="F14" s="42"/>
      <c r="G14" s="42"/>
      <c r="H14" s="42"/>
    </row>
    <row r="15" spans="1:8" ht="15" thickBot="1">
      <c r="A15" t="s">
        <v>74</v>
      </c>
      <c r="C15" s="68">
        <f>'Bid Tab (Sample)'!B7</f>
        <v>100000</v>
      </c>
      <c r="D15" s="68">
        <f>'Bid Tab (Sample)'!C7</f>
        <v>100000</v>
      </c>
      <c r="E15" s="68">
        <f>'Bid Tab (Sample)'!D7</f>
        <v>100000</v>
      </c>
      <c r="F15" s="68">
        <f>'Bid Tab (Sample)'!E7</f>
        <v>100000</v>
      </c>
      <c r="G15" s="68">
        <f>'Bid Tab (Sample)'!F7</f>
        <v>100000</v>
      </c>
      <c r="H15" s="68">
        <f>'Bid Tab (Sample)'!G7</f>
        <v>100000</v>
      </c>
    </row>
    <row r="16" spans="1:8" ht="14.25">
      <c r="A16" s="3" t="s">
        <v>41</v>
      </c>
      <c r="C16" s="69">
        <f aca="true" t="shared" si="2" ref="C16:H16">C15-Preference_Factor1</f>
        <v>95000</v>
      </c>
      <c r="D16" s="69">
        <f t="shared" si="2"/>
        <v>90000</v>
      </c>
      <c r="E16" s="69">
        <f t="shared" si="2"/>
        <v>92000</v>
      </c>
      <c r="F16" s="69">
        <f t="shared" si="2"/>
        <v>93000</v>
      </c>
      <c r="G16" s="69">
        <f t="shared" si="2"/>
        <v>97500</v>
      </c>
      <c r="H16" s="69">
        <f t="shared" si="2"/>
        <v>100000</v>
      </c>
    </row>
    <row r="17" spans="1:8" ht="14.25">
      <c r="A17" s="1" t="s">
        <v>12</v>
      </c>
      <c r="B17" s="1"/>
      <c r="C17" s="16">
        <f aca="true" t="shared" si="3" ref="C17:H17">RANK(C16,Rater1,1)+((COUNT(Rater1)+1-RANK(C16,Rater1,0)-RANK(C16,Rater1,1))/2)</f>
        <v>4</v>
      </c>
      <c r="D17" s="16">
        <f t="shared" si="3"/>
        <v>1</v>
      </c>
      <c r="E17" s="16">
        <f t="shared" si="3"/>
        <v>2</v>
      </c>
      <c r="F17" s="16">
        <f t="shared" si="3"/>
        <v>3</v>
      </c>
      <c r="G17" s="16">
        <f t="shared" si="3"/>
        <v>5</v>
      </c>
      <c r="H17" s="16">
        <f t="shared" si="3"/>
        <v>6</v>
      </c>
    </row>
  </sheetData>
  <sheetProtection/>
  <mergeCells count="9">
    <mergeCell ref="A11:B11"/>
    <mergeCell ref="A12:B12"/>
    <mergeCell ref="A13:B13"/>
    <mergeCell ref="B1:C1"/>
    <mergeCell ref="J6:K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6.140625" style="0" customWidth="1"/>
  </cols>
  <sheetData>
    <row r="1" spans="2:7" ht="14.25">
      <c r="B1" s="21" t="str">
        <f>'Bid Evaluation (Sample)'!C6</f>
        <v>Firm A</v>
      </c>
      <c r="C1" s="21" t="str">
        <f>'Bid Evaluation (Sample)'!D6</f>
        <v>Firm B</v>
      </c>
      <c r="D1" s="21" t="str">
        <f>'Bid Evaluation (Sample)'!E6</f>
        <v>Firm C</v>
      </c>
      <c r="E1" s="21" t="str">
        <f>'Bid Evaluation (Sample)'!F6</f>
        <v>Firm D</v>
      </c>
      <c r="F1" s="21" t="str">
        <f>'Bid Evaluation (Sample)'!G6</f>
        <v>Firm E</v>
      </c>
      <c r="G1" s="21" t="str">
        <f>'Bid Evaluation (Sample)'!H6</f>
        <v>Firm F</v>
      </c>
    </row>
    <row r="2" spans="1:7" ht="14.25">
      <c r="A2" t="s">
        <v>73</v>
      </c>
      <c r="B2" s="19">
        <v>100000</v>
      </c>
      <c r="C2" s="19">
        <v>100000</v>
      </c>
      <c r="D2" s="19">
        <v>100000</v>
      </c>
      <c r="E2" s="19">
        <v>100000</v>
      </c>
      <c r="F2" s="19">
        <v>100000</v>
      </c>
      <c r="G2" s="19">
        <v>100000</v>
      </c>
    </row>
    <row r="3" spans="1:7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</row>
    <row r="4" spans="1:7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</row>
    <row r="5" spans="1:7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</row>
    <row r="7" spans="1:7" ht="14.25">
      <c r="A7" t="s">
        <v>74</v>
      </c>
      <c r="B7" s="19">
        <f aca="true" t="shared" si="0" ref="B7:G7">IF(SUM(B2:B6)&gt;0,SUM(B2:B6),"N/A")</f>
        <v>100000</v>
      </c>
      <c r="C7" s="19">
        <f t="shared" si="0"/>
        <v>100000</v>
      </c>
      <c r="D7" s="19">
        <f t="shared" si="0"/>
        <v>100000</v>
      </c>
      <c r="E7" s="19">
        <f t="shared" si="0"/>
        <v>100000</v>
      </c>
      <c r="F7" s="19">
        <f t="shared" si="0"/>
        <v>100000</v>
      </c>
      <c r="G7" s="19">
        <f t="shared" si="0"/>
        <v>100000</v>
      </c>
    </row>
    <row r="8" spans="2:6" ht="14.25">
      <c r="B8" s="19"/>
      <c r="C8" s="19"/>
      <c r="D8" s="19"/>
      <c r="E8" s="19"/>
      <c r="F8" s="19"/>
    </row>
    <row r="9" spans="2:7" ht="14.25">
      <c r="B9" s="19"/>
      <c r="C9" s="19"/>
      <c r="D9" s="19"/>
      <c r="E9" s="19"/>
      <c r="F9" s="19"/>
      <c r="G9" s="19"/>
    </row>
    <row r="10" spans="2:7" ht="14.25">
      <c r="B10" s="14"/>
      <c r="C10" s="14"/>
      <c r="D10" s="14"/>
      <c r="E10" s="14"/>
      <c r="F10" s="14"/>
      <c r="G10" s="14"/>
    </row>
    <row r="16" spans="2:7" ht="14.25">
      <c r="B16" s="14"/>
      <c r="C16" s="14"/>
      <c r="D16" s="14"/>
      <c r="E16" s="14"/>
      <c r="F16" s="14"/>
      <c r="G16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Holen</dc:creator>
  <cp:keywords/>
  <dc:description/>
  <cp:lastModifiedBy>esaenz</cp:lastModifiedBy>
  <cp:lastPrinted>2014-01-29T19:03:53Z</cp:lastPrinted>
  <dcterms:created xsi:type="dcterms:W3CDTF">2008-09-25T17:48:35Z</dcterms:created>
  <dcterms:modified xsi:type="dcterms:W3CDTF">2014-02-04T17:50:44Z</dcterms:modified>
  <cp:category/>
  <cp:version/>
  <cp:contentType/>
  <cp:contentStatus/>
</cp:coreProperties>
</file>